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78FF6647-5495-4B55-828C-700FAFAF750C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B-8" sheetId="41" r:id="rId1"/>
  </sheets>
  <definedNames>
    <definedName name="EssfHasNonUnique">FALSE</definedName>
    <definedName name="Z_23E001CE_014D_4DBF_8B1B_3B8B9F4F3BF8_.wvu.Cols" localSheetId="0" hidden="1">'II-B-8'!$A:$A</definedName>
    <definedName name="Z_3B9C46A2_708E_49D1_97D6_E23A3270B654_.wvu.Cols" localSheetId="0" hidden="1">'II-B-8'!#REF!</definedName>
    <definedName name="Z_3B9C46A2_708E_49D1_97D6_E23A3270B654_.wvu.Rows" localSheetId="0" hidden="1">'II-B-8'!$11:$13</definedName>
  </definedNames>
  <calcPr calcId="191029" iterateDelta="1E-4"/>
  <customWorkbookViews>
    <customWorkbookView name="FR" guid="{3B9C46A2-708E-49D1-97D6-E23A3270B654}" maximized="1" xWindow="-9" yWindow="-9" windowWidth="1938" windowHeight="1048" activeSheetId="41"/>
    <customWorkbookView name="NL" guid="{23E001CE-014D-4DBF-8B1B-3B8B9F4F3BF8}" maximized="1" xWindow="1912" yWindow="-8" windowWidth="1936" windowHeight="1056" activeSheetId="4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1" l="1"/>
  <c r="B26" i="41"/>
  <c r="C21" i="41"/>
  <c r="B21" i="41"/>
  <c r="C18" i="41"/>
  <c r="B18" i="41"/>
  <c r="C16" i="41"/>
  <c r="B16" i="41"/>
  <c r="C17" i="41"/>
  <c r="B17" i="41"/>
  <c r="E26" i="41" l="1"/>
  <c r="E18" i="41"/>
  <c r="K26" i="41"/>
  <c r="K21" i="41"/>
  <c r="K18" i="41"/>
  <c r="K17" i="41"/>
  <c r="K16" i="41"/>
  <c r="Q26" i="41"/>
  <c r="Q24" i="41"/>
  <c r="Q21" i="41"/>
  <c r="Q18" i="41"/>
  <c r="Q16" i="41"/>
  <c r="Q17" i="41"/>
  <c r="AA26" i="41"/>
  <c r="AA25" i="41"/>
  <c r="AA22" i="41"/>
  <c r="AA21" i="41"/>
  <c r="AA24" i="41"/>
  <c r="AA18" i="41"/>
  <c r="AA17" i="41"/>
  <c r="AA16" i="41"/>
  <c r="J21" i="41" l="1"/>
  <c r="J26" i="41"/>
  <c r="J18" i="41"/>
  <c r="J17" i="41"/>
  <c r="J16" i="41"/>
  <c r="Z25" i="41" l="1"/>
  <c r="Z24" i="41"/>
  <c r="Z26" i="41"/>
  <c r="Z22" i="41"/>
  <c r="Z21" i="41"/>
  <c r="Z18" i="41"/>
  <c r="Z16" i="41"/>
  <c r="Z17" i="41"/>
  <c r="D18" i="41" l="1"/>
  <c r="D26" i="41"/>
  <c r="D21" i="41"/>
  <c r="D16" i="41"/>
  <c r="D17" i="41"/>
  <c r="P24" i="41" l="1"/>
  <c r="P21" i="41"/>
  <c r="P17" i="41"/>
  <c r="P16" i="41"/>
  <c r="Y25" i="41" l="1"/>
  <c r="X25" i="41"/>
  <c r="X24" i="41"/>
  <c r="X26" i="41"/>
  <c r="X22" i="41"/>
  <c r="X21" i="41"/>
  <c r="X18" i="41"/>
  <c r="X17" i="41"/>
  <c r="X16" i="41"/>
  <c r="W25" i="41"/>
  <c r="W24" i="41"/>
  <c r="W26" i="41"/>
  <c r="W22" i="41"/>
  <c r="W21" i="41"/>
  <c r="W18" i="41"/>
  <c r="W17" i="41"/>
  <c r="W16" i="41"/>
  <c r="V25" i="41"/>
  <c r="V24" i="41"/>
  <c r="V26" i="41"/>
  <c r="V22" i="41"/>
  <c r="V21" i="41"/>
  <c r="V18" i="41"/>
  <c r="V17" i="41"/>
  <c r="V16" i="41" l="1"/>
  <c r="U25" i="41"/>
  <c r="T26" i="41"/>
  <c r="T25" i="41"/>
  <c r="T24" i="41"/>
  <c r="T22" i="41"/>
  <c r="T21" i="41"/>
  <c r="T18" i="41"/>
  <c r="T17" i="41"/>
  <c r="T16" i="41"/>
  <c r="S26" i="41"/>
  <c r="R26" i="41"/>
  <c r="R24" i="41"/>
  <c r="R22" i="41"/>
  <c r="R21" i="41"/>
  <c r="S25" i="41"/>
  <c r="S22" i="41"/>
  <c r="R18" i="41"/>
  <c r="R17" i="41"/>
  <c r="R16" i="41"/>
  <c r="AS18" i="41" l="1"/>
  <c r="N17" i="41"/>
  <c r="N16" i="41"/>
  <c r="N18" i="41"/>
  <c r="N21" i="41"/>
  <c r="N26" i="41"/>
  <c r="N24" i="41"/>
  <c r="M24" i="41"/>
  <c r="M26" i="41"/>
  <c r="M21" i="41"/>
  <c r="M16" i="41"/>
  <c r="M18" i="41"/>
  <c r="M17" i="41"/>
  <c r="L26" i="41"/>
  <c r="L24" i="41"/>
  <c r="L21" i="41"/>
  <c r="L18" i="41"/>
  <c r="L17" i="41"/>
  <c r="L16" i="41"/>
  <c r="O21" i="41"/>
  <c r="O24" i="41"/>
  <c r="O26" i="41"/>
  <c r="O18" i="41"/>
  <c r="O17" i="41"/>
  <c r="O16" i="41"/>
  <c r="Y24" i="41"/>
  <c r="Y22" i="41"/>
  <c r="Y21" i="41"/>
  <c r="Y18" i="41"/>
  <c r="Y16" i="41"/>
  <c r="Y26" i="41"/>
  <c r="Y17" i="41"/>
  <c r="U26" i="41" l="1"/>
  <c r="U24" i="41"/>
  <c r="U22" i="41"/>
  <c r="U21" i="41"/>
  <c r="U18" i="41"/>
  <c r="U17" i="41"/>
  <c r="U16" i="41"/>
  <c r="S18" i="41"/>
  <c r="S24" i="41"/>
  <c r="S21" i="41"/>
  <c r="S17" i="41"/>
  <c r="S16" i="41"/>
</calcChain>
</file>

<file path=xl/sharedStrings.xml><?xml version="1.0" encoding="utf-8"?>
<sst xmlns="http://schemas.openxmlformats.org/spreadsheetml/2006/main" count="202" uniqueCount="96">
  <si>
    <t xml:space="preserve">Périmètre : Sécurité sociale </t>
  </si>
  <si>
    <t xml:space="preserve">1/08/1984 </t>
  </si>
  <si>
    <t xml:space="preserve">1/01/1985 </t>
  </si>
  <si>
    <t xml:space="preserve">1/06/1985 </t>
  </si>
  <si>
    <t xml:space="preserve">1/10/1985 </t>
  </si>
  <si>
    <t xml:space="preserve">1/11/1988 </t>
  </si>
  <si>
    <t xml:space="preserve">1/08/1989 </t>
  </si>
  <si>
    <t xml:space="preserve">1/02/1990 </t>
  </si>
  <si>
    <t xml:space="preserve">1/11/1990 </t>
  </si>
  <si>
    <t xml:space="preserve">1/03/1991 </t>
  </si>
  <si>
    <t xml:space="preserve">1/12/1991 </t>
  </si>
  <si>
    <t xml:space="preserve">1/11/1992 </t>
  </si>
  <si>
    <t xml:space="preserve">1/07/1993 </t>
  </si>
  <si>
    <t xml:space="preserve">1/05/1996 </t>
  </si>
  <si>
    <t xml:space="preserve">1/10/1997 </t>
  </si>
  <si>
    <t xml:space="preserve">1/06/1999 </t>
  </si>
  <si>
    <t xml:space="preserve">1/09/2000 </t>
  </si>
  <si>
    <t xml:space="preserve">1/06/2001 </t>
  </si>
  <si>
    <t xml:space="preserve">1/02/2002 </t>
  </si>
  <si>
    <t xml:space="preserve">1/06/2003 </t>
  </si>
  <si>
    <t xml:space="preserve">1/08/2005 </t>
  </si>
  <si>
    <t xml:space="preserve">1/10/2006 </t>
  </si>
  <si>
    <t xml:space="preserve">1/09/2007 </t>
  </si>
  <si>
    <t xml:space="preserve">1/01/2008 </t>
  </si>
  <si>
    <t xml:space="preserve">1/05/2008 </t>
  </si>
  <si>
    <t xml:space="preserve">1/09/2008 </t>
  </si>
  <si>
    <t>-</t>
  </si>
  <si>
    <t xml:space="preserve">1/05/2011 </t>
  </si>
  <si>
    <t xml:space="preserve">1/02/2012 </t>
  </si>
  <si>
    <t xml:space="preserve">1/12/2012 </t>
  </si>
  <si>
    <t xml:space="preserve">1/09/2015 </t>
  </si>
  <si>
    <t xml:space="preserve">- </t>
  </si>
  <si>
    <t xml:space="preserve"> -</t>
  </si>
  <si>
    <t xml:space="preserve">1/01/1981 </t>
  </si>
  <si>
    <t xml:space="preserve">1/04/1981 </t>
  </si>
  <si>
    <t xml:space="preserve">1/09/1981 </t>
  </si>
  <si>
    <t xml:space="preserve">1/11/1981 </t>
  </si>
  <si>
    <t xml:space="preserve">1/02/1982 </t>
  </si>
  <si>
    <t xml:space="preserve">1/05/1982 </t>
  </si>
  <si>
    <t xml:space="preserve">1/08/1982 </t>
  </si>
  <si>
    <t xml:space="preserve">1/10/1982 </t>
  </si>
  <si>
    <t xml:space="preserve">1/12/1982 </t>
  </si>
  <si>
    <t xml:space="preserve">1/04/1983 </t>
  </si>
  <si>
    <t xml:space="preserve">1/09/1983 </t>
  </si>
  <si>
    <t xml:space="preserve">1/01/1984 </t>
  </si>
  <si>
    <t xml:space="preserve">1/05/1984 </t>
  </si>
  <si>
    <t>1/06/1987</t>
  </si>
  <si>
    <t xml:space="preserve">1/05/1994 </t>
  </si>
  <si>
    <t xml:space="preserve">1/12/1994 </t>
  </si>
  <si>
    <t xml:space="preserve">20,,75 </t>
  </si>
  <si>
    <t xml:space="preserve">1/01/2002 </t>
  </si>
  <si>
    <t xml:space="preserve">1/01/2003 </t>
  </si>
  <si>
    <t xml:space="preserve">1/04/2004 </t>
  </si>
  <si>
    <t xml:space="preserve">1/10/2004 </t>
  </si>
  <si>
    <t xml:space="preserve">1/01/2005 </t>
  </si>
  <si>
    <t xml:space="preserve">1/01/2007 </t>
  </si>
  <si>
    <t xml:space="preserve">1/07/2008 </t>
  </si>
  <si>
    <t xml:space="preserve">1/09/2010 </t>
  </si>
  <si>
    <t xml:space="preserve">1/01/2011 </t>
  </si>
  <si>
    <t xml:space="preserve">1/09/2011 </t>
  </si>
  <si>
    <t xml:space="preserve">1/04/2013 </t>
  </si>
  <si>
    <t xml:space="preserve">1/09/2013 </t>
  </si>
  <si>
    <t xml:space="preserve">1/04/2015 </t>
  </si>
  <si>
    <t xml:space="preserve">1/04/2016 </t>
  </si>
  <si>
    <t xml:space="preserve">1/06/2016 </t>
  </si>
  <si>
    <t xml:space="preserve">Unités : EUR </t>
  </si>
  <si>
    <t xml:space="preserve">    Travailleurs avec charge de famille </t>
  </si>
  <si>
    <t xml:space="preserve">          Indemnité Minimum </t>
  </si>
  <si>
    <t xml:space="preserve">          Indemnité Maximum </t>
  </si>
  <si>
    <t xml:space="preserve">          Minimum Travailleur non régulier </t>
  </si>
  <si>
    <t xml:space="preserve">    Travailleurs sans charge de famille </t>
  </si>
  <si>
    <t xml:space="preserve">             Isolés </t>
  </si>
  <si>
    <t xml:space="preserve">             Cohabitants </t>
  </si>
  <si>
    <t xml:space="preserve"> Indemnité journalière </t>
  </si>
  <si>
    <t>Titre : Barèmes pour les indemnités d'invalidité</t>
  </si>
  <si>
    <t>Indice pivot</t>
  </si>
  <si>
    <t>1974/1975</t>
  </si>
  <si>
    <t>* 0,6493</t>
  </si>
  <si>
    <t>BI</t>
  </si>
  <si>
    <t>* 0,8280</t>
  </si>
  <si>
    <t>* 0,8148</t>
  </si>
  <si>
    <t>* 0,7093</t>
  </si>
  <si>
    <t>* 0,8790</t>
  </si>
  <si>
    <t>Base</t>
  </si>
  <si>
    <t>Coefficient de conversion</t>
  </si>
  <si>
    <r>
      <rPr>
        <vertAlign val="superscript"/>
        <sz val="11"/>
        <color rgb="FF333399"/>
        <rFont val="Century Gothic"/>
        <family val="2"/>
      </rPr>
      <t>(1)</t>
    </r>
    <r>
      <rPr>
        <sz val="11"/>
        <color rgb="FF333399"/>
        <rFont val="Century Gothic"/>
        <family val="2"/>
      </rPr>
      <t xml:space="preserve"> A partir du 1/10/1986, une distinction est faite entre isolés et cohabitants. Auparavant, ces personnes étaient classées dans la catégorie sans charge de famille.</t>
    </r>
  </si>
  <si>
    <r>
      <t xml:space="preserve">             Isolés</t>
    </r>
    <r>
      <rPr>
        <i/>
        <vertAlign val="superscript"/>
        <sz val="12"/>
        <color rgb="FF333399"/>
        <rFont val="Century Gothic"/>
        <family val="2"/>
      </rPr>
      <t>(1)</t>
    </r>
  </si>
  <si>
    <t xml:space="preserve">1/06/2017 </t>
  </si>
  <si>
    <t xml:space="preserve">1/09/2017 </t>
  </si>
  <si>
    <t xml:space="preserve">1/07/2018 </t>
  </si>
  <si>
    <t xml:space="preserve">1/09/2018 </t>
  </si>
  <si>
    <t xml:space="preserve">Période : 1970-2018 </t>
  </si>
  <si>
    <t xml:space="preserve">Source : INAMI (circulaires) </t>
  </si>
  <si>
    <t xml:space="preserve">Régime : Travailleurs salariés </t>
  </si>
  <si>
    <t xml:space="preserve">Branche : Indemnités d'invalidité </t>
  </si>
  <si>
    <t xml:space="preserve">Mise à jour : Janvier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</si>
</sst>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0.0000"/>
  </numFmts>
  <fonts count="25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sz val="11"/>
      <color rgb="FF333399"/>
      <name val="Century Gothic"/>
      <family val="2"/>
    </font>
    <font>
      <sz val="10"/>
      <color rgb="FF333399"/>
      <name val="Arial"/>
      <family val="2"/>
    </font>
    <font>
      <u/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FF0000"/>
      <name val="Century Gothic"/>
      <family val="2"/>
    </font>
    <font>
      <sz val="12"/>
      <name val="Arial"/>
      <family val="2"/>
    </font>
    <font>
      <b/>
      <i/>
      <sz val="12"/>
      <color rgb="FF333399"/>
      <name val="Century Gothic"/>
      <family val="2"/>
    </font>
    <font>
      <i/>
      <sz val="12"/>
      <color rgb="FF333399"/>
      <name val="Century Gothic"/>
      <family val="2"/>
    </font>
    <font>
      <i/>
      <vertAlign val="superscript"/>
      <sz val="12"/>
      <color rgb="FF333399"/>
      <name val="Century Gothic"/>
      <family val="2"/>
    </font>
    <font>
      <vertAlign val="superscript"/>
      <sz val="11"/>
      <color rgb="FF33339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/>
      <top/>
      <bottom style="medium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48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Border="1" applyAlignment="1">
      <alignment vertical="center"/>
    </xf>
    <xf numFmtId="49" fontId="12" fillId="7" borderId="8" xfId="0" quotePrefix="1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11" fillId="7" borderId="0" xfId="0" quotePrefix="1" applyFont="1" applyFill="1" applyBorder="1" applyAlignment="1">
      <alignment horizontal="right" vertical="center" indent="1"/>
    </xf>
    <xf numFmtId="164" fontId="11" fillId="7" borderId="0" xfId="0" quotePrefix="1" applyNumberFormat="1" applyFont="1" applyFill="1" applyBorder="1" applyAlignment="1">
      <alignment horizontal="right" vertical="center"/>
    </xf>
    <xf numFmtId="164" fontId="11" fillId="7" borderId="0" xfId="0" quotePrefix="1" applyNumberFormat="1" applyFont="1" applyFill="1" applyBorder="1" applyAlignment="1">
      <alignment horizontal="right"/>
    </xf>
    <xf numFmtId="0" fontId="0" fillId="0" borderId="0" xfId="0" applyBorder="1"/>
    <xf numFmtId="0" fontId="15" fillId="7" borderId="0" xfId="0" applyFont="1" applyFill="1"/>
    <xf numFmtId="165" fontId="15" fillId="8" borderId="0" xfId="0" quotePrefix="1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left" indent="1"/>
    </xf>
    <xf numFmtId="0" fontId="15" fillId="7" borderId="9" xfId="0" quotePrefix="1" applyFont="1" applyFill="1" applyBorder="1" applyAlignment="1">
      <alignment horizontal="left" vertical="center" indent="1"/>
    </xf>
    <xf numFmtId="4" fontId="15" fillId="7" borderId="0" xfId="0" applyNumberFormat="1" applyFont="1" applyFill="1"/>
    <xf numFmtId="4" fontId="15" fillId="7" borderId="0" xfId="0" applyNumberFormat="1" applyFont="1" applyFill="1" applyAlignment="1">
      <alignment horizontal="right"/>
    </xf>
    <xf numFmtId="0" fontId="16" fillId="0" borderId="0" xfId="0" applyFont="1"/>
    <xf numFmtId="0" fontId="15" fillId="7" borderId="0" xfId="0" applyFont="1" applyFill="1" applyAlignment="1">
      <alignment horizontal="right"/>
    </xf>
    <xf numFmtId="0" fontId="17" fillId="7" borderId="0" xfId="0" applyFont="1" applyFill="1"/>
    <xf numFmtId="0" fontId="18" fillId="0" borderId="10" xfId="0" applyFont="1" applyBorder="1" applyAlignment="1">
      <alignment horizontal="left" vertical="center" indent="2"/>
    </xf>
    <xf numFmtId="0" fontId="18" fillId="7" borderId="9" xfId="0" quotePrefix="1" applyFont="1" applyFill="1" applyBorder="1" applyAlignment="1">
      <alignment horizontal="left" vertical="center" indent="1"/>
    </xf>
    <xf numFmtId="0" fontId="19" fillId="7" borderId="0" xfId="0" applyFont="1" applyFill="1" applyAlignment="1">
      <alignment vertical="center"/>
    </xf>
    <xf numFmtId="0" fontId="20" fillId="0" borderId="0" xfId="0" applyFont="1"/>
    <xf numFmtId="0" fontId="19" fillId="0" borderId="0" xfId="0" applyFont="1" applyFill="1" applyAlignment="1">
      <alignment vertical="center"/>
    </xf>
    <xf numFmtId="4" fontId="14" fillId="9" borderId="0" xfId="0" quotePrefix="1" applyNumberFormat="1" applyFont="1" applyFill="1" applyBorder="1" applyAlignment="1">
      <alignment horizontal="right" vertical="center"/>
    </xf>
    <xf numFmtId="4" fontId="14" fillId="7" borderId="0" xfId="0" quotePrefix="1" applyNumberFormat="1" applyFont="1" applyFill="1" applyBorder="1" applyAlignment="1">
      <alignment horizontal="right" vertical="center"/>
    </xf>
    <xf numFmtId="4" fontId="14" fillId="7" borderId="0" xfId="0" applyNumberFormat="1" applyFont="1" applyFill="1" applyBorder="1" applyAlignment="1">
      <alignment horizontal="right" vertical="center"/>
    </xf>
    <xf numFmtId="4" fontId="14" fillId="0" borderId="0" xfId="0" quotePrefix="1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8" borderId="0" xfId="0" quotePrefix="1" applyNumberFormat="1" applyFont="1" applyFill="1" applyBorder="1" applyAlignment="1">
      <alignment horizontal="right" vertical="center"/>
    </xf>
    <xf numFmtId="4" fontId="14" fillId="8" borderId="0" xfId="0" applyNumberFormat="1" applyFont="1" applyFill="1" applyBorder="1" applyAlignment="1">
      <alignment horizontal="right" vertical="center"/>
    </xf>
    <xf numFmtId="164" fontId="14" fillId="7" borderId="0" xfId="0" quotePrefix="1" applyNumberFormat="1" applyFont="1" applyFill="1" applyBorder="1" applyAlignment="1">
      <alignment horizontal="right" vertical="center"/>
    </xf>
    <xf numFmtId="0" fontId="14" fillId="7" borderId="9" xfId="0" quotePrefix="1" applyFont="1" applyFill="1" applyBorder="1" applyAlignment="1">
      <alignment horizontal="left" vertical="center" indent="2"/>
    </xf>
    <xf numFmtId="0" fontId="21" fillId="7" borderId="9" xfId="0" quotePrefix="1" applyFont="1" applyFill="1" applyBorder="1" applyAlignment="1">
      <alignment horizontal="left" vertical="center" indent="2"/>
    </xf>
    <xf numFmtId="0" fontId="22" fillId="7" borderId="9" xfId="0" quotePrefix="1" applyFont="1" applyFill="1" applyBorder="1" applyAlignment="1">
      <alignment horizontal="left" vertical="center" indent="2"/>
    </xf>
    <xf numFmtId="0" fontId="15" fillId="7" borderId="0" xfId="0" quotePrefix="1" applyFont="1" applyFill="1" applyBorder="1" applyAlignment="1">
      <alignment horizontal="left" vertical="center" indent="1"/>
    </xf>
    <xf numFmtId="0" fontId="15" fillId="7" borderId="11" xfId="0" applyFont="1" applyFill="1" applyBorder="1"/>
    <xf numFmtId="0" fontId="15" fillId="7" borderId="8" xfId="0" applyFont="1" applyFill="1" applyBorder="1"/>
    <xf numFmtId="0" fontId="15" fillId="7" borderId="8" xfId="0" quotePrefix="1" applyFont="1" applyFill="1" applyBorder="1" applyAlignment="1">
      <alignment horizontal="right"/>
    </xf>
    <xf numFmtId="166" fontId="15" fillId="7" borderId="8" xfId="0" quotePrefix="1" applyNumberFormat="1" applyFont="1" applyFill="1" applyBorder="1" applyAlignment="1">
      <alignment horizontal="right"/>
    </xf>
    <xf numFmtId="4" fontId="15" fillId="7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4" fontId="15" fillId="7" borderId="0" xfId="0" quotePrefix="1" applyNumberFormat="1" applyFont="1" applyFill="1" applyBorder="1" applyAlignment="1">
      <alignment horizontal="right" vertical="center"/>
    </xf>
    <xf numFmtId="0" fontId="1" fillId="0" borderId="0" xfId="0" applyFont="1"/>
    <xf numFmtId="0" fontId="15" fillId="0" borderId="0" xfId="0" applyFont="1"/>
    <xf numFmtId="2" fontId="15" fillId="0" borderId="0" xfId="0" applyNumberFormat="1" applyFont="1"/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sheetPr>
    <pageSetUpPr fitToPage="1"/>
  </sheetPr>
  <dimension ref="A1:BS39"/>
  <sheetViews>
    <sheetView showGridLines="0" tabSelected="1" zoomScale="75" zoomScaleNormal="75" workbookViewId="0"/>
  </sheetViews>
  <sheetFormatPr defaultColWidth="55.7109375" defaultRowHeight="12.75" x14ac:dyDescent="0.2"/>
  <cols>
    <col min="1" max="1" width="56.42578125" bestFit="1" customWidth="1"/>
    <col min="2" max="61" width="18.7109375" customWidth="1"/>
    <col min="62" max="65" width="19.7109375" customWidth="1"/>
    <col min="66" max="67" width="15.7109375" customWidth="1"/>
    <col min="68" max="68" width="12.7109375" customWidth="1"/>
  </cols>
  <sheetData>
    <row r="1" spans="1:65" ht="21" customHeight="1" x14ac:dyDescent="0.25">
      <c r="A1" s="14" t="s">
        <v>74</v>
      </c>
    </row>
    <row r="2" spans="1:65" ht="16.5" x14ac:dyDescent="0.2">
      <c r="A2" s="13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5" ht="16.5" x14ac:dyDescent="0.2">
      <c r="A3" s="13" t="s">
        <v>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5" ht="16.5" x14ac:dyDescent="0.2">
      <c r="A4" s="13" t="s">
        <v>94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5" ht="16.5" x14ac:dyDescent="0.2">
      <c r="A5" s="13" t="s">
        <v>91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5" ht="16.5" x14ac:dyDescent="0.2">
      <c r="A6" s="13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5" ht="16.5" x14ac:dyDescent="0.2">
      <c r="A7" s="13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5" ht="16.5" x14ac:dyDescent="0.2">
      <c r="A8" s="13" t="s">
        <v>92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5" ht="13.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5" ht="18.75" thickBot="1" x14ac:dyDescent="0.25">
      <c r="A10" s="15"/>
      <c r="B10" s="6" t="s">
        <v>33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39</v>
      </c>
      <c r="I10" s="6" t="s">
        <v>40</v>
      </c>
      <c r="J10" s="6" t="s">
        <v>41</v>
      </c>
      <c r="K10" s="6" t="s">
        <v>42</v>
      </c>
      <c r="L10" s="6" t="s">
        <v>43</v>
      </c>
      <c r="M10" s="6" t="s">
        <v>44</v>
      </c>
      <c r="N10" s="6" t="s">
        <v>45</v>
      </c>
      <c r="O10" s="6" t="s">
        <v>1</v>
      </c>
      <c r="P10" s="6" t="s">
        <v>2</v>
      </c>
      <c r="Q10" s="6" t="s">
        <v>3</v>
      </c>
      <c r="R10" s="6" t="s">
        <v>4</v>
      </c>
      <c r="S10" s="6" t="s">
        <v>46</v>
      </c>
      <c r="T10" s="6" t="s">
        <v>5</v>
      </c>
      <c r="U10" s="6" t="s">
        <v>6</v>
      </c>
      <c r="V10" s="6" t="s">
        <v>7</v>
      </c>
      <c r="W10" s="6" t="s">
        <v>8</v>
      </c>
      <c r="X10" s="6" t="s">
        <v>9</v>
      </c>
      <c r="Y10" s="6" t="s">
        <v>10</v>
      </c>
      <c r="Z10" s="6" t="s">
        <v>11</v>
      </c>
      <c r="AA10" s="6" t="s">
        <v>12</v>
      </c>
      <c r="AB10" s="6" t="s">
        <v>47</v>
      </c>
      <c r="AC10" s="6" t="s">
        <v>48</v>
      </c>
      <c r="AD10" s="6" t="s">
        <v>13</v>
      </c>
      <c r="AE10" s="6" t="s">
        <v>14</v>
      </c>
      <c r="AF10" s="6" t="s">
        <v>15</v>
      </c>
      <c r="AG10" s="6" t="s">
        <v>16</v>
      </c>
      <c r="AH10" s="6" t="s">
        <v>17</v>
      </c>
      <c r="AI10" s="6" t="s">
        <v>50</v>
      </c>
      <c r="AJ10" s="6" t="s">
        <v>18</v>
      </c>
      <c r="AK10" s="6" t="s">
        <v>51</v>
      </c>
      <c r="AL10" s="6" t="s">
        <v>19</v>
      </c>
      <c r="AM10" s="6" t="s">
        <v>52</v>
      </c>
      <c r="AN10" s="6" t="s">
        <v>53</v>
      </c>
      <c r="AO10" s="6" t="s">
        <v>54</v>
      </c>
      <c r="AP10" s="6" t="s">
        <v>20</v>
      </c>
      <c r="AQ10" s="6" t="s">
        <v>21</v>
      </c>
      <c r="AR10" s="6" t="s">
        <v>55</v>
      </c>
      <c r="AS10" s="6" t="s">
        <v>22</v>
      </c>
      <c r="AT10" s="6" t="s">
        <v>23</v>
      </c>
      <c r="AU10" s="6" t="s">
        <v>24</v>
      </c>
      <c r="AV10" s="6" t="s">
        <v>56</v>
      </c>
      <c r="AW10" s="6" t="s">
        <v>25</v>
      </c>
      <c r="AX10" s="6" t="s">
        <v>57</v>
      </c>
      <c r="AY10" s="6" t="s">
        <v>58</v>
      </c>
      <c r="AZ10" s="6" t="s">
        <v>27</v>
      </c>
      <c r="BA10" s="6" t="s">
        <v>59</v>
      </c>
      <c r="BB10" s="6" t="s">
        <v>28</v>
      </c>
      <c r="BC10" s="6" t="s">
        <v>29</v>
      </c>
      <c r="BD10" s="6" t="s">
        <v>60</v>
      </c>
      <c r="BE10" s="6" t="s">
        <v>61</v>
      </c>
      <c r="BF10" s="6" t="s">
        <v>62</v>
      </c>
      <c r="BG10" s="6" t="s">
        <v>30</v>
      </c>
      <c r="BH10" s="6" t="s">
        <v>63</v>
      </c>
      <c r="BI10" s="6" t="s">
        <v>64</v>
      </c>
      <c r="BJ10" s="6" t="s">
        <v>87</v>
      </c>
      <c r="BK10" s="6" t="s">
        <v>88</v>
      </c>
      <c r="BL10" s="6" t="s">
        <v>89</v>
      </c>
      <c r="BM10" s="6" t="s">
        <v>90</v>
      </c>
    </row>
    <row r="11" spans="1:65" s="18" customFormat="1" ht="16.5" x14ac:dyDescent="0.3">
      <c r="A11" s="15" t="s">
        <v>75</v>
      </c>
      <c r="B11" s="16">
        <v>145.88</v>
      </c>
      <c r="C11" s="16">
        <v>148.80000000000001</v>
      </c>
      <c r="D11" s="16">
        <v>151.78</v>
      </c>
      <c r="E11" s="16">
        <v>154.82</v>
      </c>
      <c r="F11" s="16">
        <v>157.91999999999999</v>
      </c>
      <c r="G11" s="16">
        <v>161.06</v>
      </c>
      <c r="H11" s="16">
        <v>164.3</v>
      </c>
      <c r="I11" s="16">
        <v>167.59</v>
      </c>
      <c r="J11" s="16">
        <v>170.94</v>
      </c>
      <c r="K11" s="16">
        <v>174.36</v>
      </c>
      <c r="L11" s="16">
        <v>177.85</v>
      </c>
      <c r="M11" s="16">
        <v>181.41</v>
      </c>
      <c r="N11" s="16">
        <v>120.15</v>
      </c>
      <c r="O11" s="16">
        <v>122.55</v>
      </c>
      <c r="P11" s="16">
        <v>125</v>
      </c>
      <c r="Q11" s="16">
        <v>127.5</v>
      </c>
      <c r="R11" s="16">
        <v>130.05000000000001</v>
      </c>
      <c r="S11" s="16">
        <v>132.65</v>
      </c>
      <c r="T11" s="16">
        <v>135.30000000000001</v>
      </c>
      <c r="U11" s="16">
        <v>138.01</v>
      </c>
      <c r="V11" s="16">
        <v>140.77000000000001</v>
      </c>
      <c r="W11" s="16">
        <v>143.59</v>
      </c>
      <c r="X11" s="16">
        <v>108.26</v>
      </c>
      <c r="Y11" s="16">
        <v>110.43</v>
      </c>
      <c r="Z11" s="16">
        <v>112.64</v>
      </c>
      <c r="AA11" s="16">
        <v>114.89</v>
      </c>
      <c r="AB11" s="17" t="s">
        <v>78</v>
      </c>
      <c r="AC11" s="16">
        <v>117.19</v>
      </c>
      <c r="AD11" s="16">
        <v>119.53</v>
      </c>
      <c r="AE11" s="16">
        <v>121.92</v>
      </c>
      <c r="AF11" s="16">
        <v>103.14</v>
      </c>
      <c r="AG11" s="16">
        <v>105.2</v>
      </c>
      <c r="AH11" s="16">
        <v>107.3</v>
      </c>
      <c r="AI11" s="17" t="s">
        <v>78</v>
      </c>
      <c r="AJ11" s="16">
        <v>109.45</v>
      </c>
      <c r="AK11" s="17" t="s">
        <v>78</v>
      </c>
      <c r="AL11" s="16">
        <v>111.64</v>
      </c>
      <c r="AM11" s="17" t="s">
        <v>78</v>
      </c>
      <c r="AN11" s="16">
        <v>113.87</v>
      </c>
      <c r="AO11" s="17" t="s">
        <v>78</v>
      </c>
      <c r="AP11" s="16">
        <v>116.15</v>
      </c>
      <c r="AQ11" s="16">
        <v>104.14</v>
      </c>
      <c r="AR11" s="17" t="s">
        <v>78</v>
      </c>
      <c r="AS11" s="17" t="s">
        <v>78</v>
      </c>
      <c r="AT11" s="16">
        <v>106.22</v>
      </c>
      <c r="AU11" s="16">
        <v>108.34</v>
      </c>
      <c r="AV11" s="17" t="s">
        <v>78</v>
      </c>
      <c r="AW11" s="16">
        <v>110.51</v>
      </c>
      <c r="AX11" s="16">
        <v>112.72</v>
      </c>
      <c r="AY11" s="17" t="s">
        <v>78</v>
      </c>
      <c r="AZ11" s="16">
        <v>114.97</v>
      </c>
      <c r="BA11" s="17" t="s">
        <v>78</v>
      </c>
      <c r="BB11" s="16">
        <v>117.27</v>
      </c>
      <c r="BC11" s="16">
        <v>119.62</v>
      </c>
      <c r="BD11" s="17" t="s">
        <v>78</v>
      </c>
      <c r="BE11" s="17" t="s">
        <v>78</v>
      </c>
      <c r="BF11" s="17" t="s">
        <v>78</v>
      </c>
      <c r="BG11" s="17" t="s">
        <v>78</v>
      </c>
      <c r="BH11" s="17" t="s">
        <v>78</v>
      </c>
      <c r="BI11" s="16">
        <v>101.02</v>
      </c>
      <c r="BJ11" s="46">
        <v>103.04</v>
      </c>
      <c r="BK11" s="17" t="s">
        <v>78</v>
      </c>
      <c r="BL11" s="17" t="s">
        <v>78</v>
      </c>
      <c r="BM11" s="47">
        <v>105.1</v>
      </c>
    </row>
    <row r="12" spans="1:65" s="18" customFormat="1" ht="16.5" x14ac:dyDescent="0.3">
      <c r="A12" s="15" t="s">
        <v>83</v>
      </c>
      <c r="B12" s="19" t="s">
        <v>76</v>
      </c>
      <c r="C12" s="19" t="s">
        <v>76</v>
      </c>
      <c r="D12" s="19" t="s">
        <v>76</v>
      </c>
      <c r="E12" s="19" t="s">
        <v>76</v>
      </c>
      <c r="F12" s="19" t="s">
        <v>76</v>
      </c>
      <c r="G12" s="19" t="s">
        <v>76</v>
      </c>
      <c r="H12" s="19" t="s">
        <v>76</v>
      </c>
      <c r="I12" s="19" t="s">
        <v>76</v>
      </c>
      <c r="J12" s="19" t="s">
        <v>76</v>
      </c>
      <c r="K12" s="19" t="s">
        <v>76</v>
      </c>
      <c r="L12" s="19" t="s">
        <v>76</v>
      </c>
      <c r="M12" s="19" t="s">
        <v>76</v>
      </c>
      <c r="N12" s="20">
        <v>1981</v>
      </c>
      <c r="O12" s="12">
        <v>1981</v>
      </c>
      <c r="P12" s="12">
        <v>1981</v>
      </c>
      <c r="Q12" s="12">
        <v>1981</v>
      </c>
      <c r="R12" s="12">
        <v>1981</v>
      </c>
      <c r="S12" s="12">
        <v>1981</v>
      </c>
      <c r="T12" s="12">
        <v>1981</v>
      </c>
      <c r="U12" s="12">
        <v>1981</v>
      </c>
      <c r="V12" s="12">
        <v>1981</v>
      </c>
      <c r="W12" s="12">
        <v>1981</v>
      </c>
      <c r="X12" s="20">
        <v>1988</v>
      </c>
      <c r="Y12" s="12">
        <v>1988</v>
      </c>
      <c r="Z12" s="12">
        <v>1988</v>
      </c>
      <c r="AA12" s="12">
        <v>1988</v>
      </c>
      <c r="AB12" s="12"/>
      <c r="AC12" s="12">
        <v>1988</v>
      </c>
      <c r="AD12" s="12">
        <v>1988</v>
      </c>
      <c r="AE12" s="12">
        <v>1988</v>
      </c>
      <c r="AF12" s="20">
        <v>1996</v>
      </c>
      <c r="AG12" s="12">
        <v>1996</v>
      </c>
      <c r="AH12" s="12">
        <v>1996</v>
      </c>
      <c r="AI12" s="12"/>
      <c r="AJ12" s="12">
        <v>1996</v>
      </c>
      <c r="AK12" s="12"/>
      <c r="AL12" s="12">
        <v>1996</v>
      </c>
      <c r="AM12" s="12"/>
      <c r="AN12" s="12">
        <v>1996</v>
      </c>
      <c r="AO12" s="12"/>
      <c r="AP12" s="12">
        <v>1996</v>
      </c>
      <c r="AQ12" s="20">
        <v>2004</v>
      </c>
      <c r="AR12" s="12"/>
      <c r="AS12" s="12"/>
      <c r="AT12" s="12">
        <v>2004</v>
      </c>
      <c r="AU12" s="12">
        <v>2004</v>
      </c>
      <c r="AV12" s="12"/>
      <c r="AW12" s="12">
        <v>2004</v>
      </c>
      <c r="AX12" s="12">
        <v>2004</v>
      </c>
      <c r="AY12" s="12"/>
      <c r="AZ12" s="12">
        <v>2004</v>
      </c>
      <c r="BA12" s="12"/>
      <c r="BB12" s="12">
        <v>2004</v>
      </c>
      <c r="BC12" s="12">
        <v>2004</v>
      </c>
      <c r="BD12" s="12"/>
      <c r="BE12" s="12"/>
      <c r="BF12" s="12"/>
      <c r="BG12" s="12"/>
      <c r="BH12" s="12"/>
      <c r="BI12" s="20">
        <v>2013</v>
      </c>
      <c r="BJ12" s="46">
        <v>2013</v>
      </c>
      <c r="BM12" s="46">
        <v>2013</v>
      </c>
    </row>
    <row r="13" spans="1:65" s="18" customFormat="1" ht="17.25" customHeight="1" thickBot="1" x14ac:dyDescent="0.35">
      <c r="A13" s="15" t="s">
        <v>84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 t="s">
        <v>77</v>
      </c>
      <c r="O13" s="39"/>
      <c r="P13" s="39"/>
      <c r="Q13" s="39"/>
      <c r="R13" s="39"/>
      <c r="S13" s="39"/>
      <c r="T13" s="39"/>
      <c r="U13" s="39"/>
      <c r="V13" s="39"/>
      <c r="W13" s="39"/>
      <c r="X13" s="40" t="s">
        <v>81</v>
      </c>
      <c r="Y13" s="39"/>
      <c r="Z13" s="39"/>
      <c r="AA13" s="39"/>
      <c r="AB13" s="39"/>
      <c r="AC13" s="39"/>
      <c r="AD13" s="39"/>
      <c r="AE13" s="39"/>
      <c r="AF13" s="40" t="s">
        <v>80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1" t="s">
        <v>82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40" t="s">
        <v>79</v>
      </c>
      <c r="BJ13" s="39"/>
      <c r="BK13" s="39"/>
      <c r="BL13" s="39"/>
      <c r="BM13" s="39"/>
    </row>
    <row r="14" spans="1:65" ht="36.75" customHeight="1" x14ac:dyDescent="0.2">
      <c r="A14" s="21" t="s">
        <v>73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</row>
    <row r="15" spans="1:65" ht="24.95" customHeight="1" x14ac:dyDescent="0.2">
      <c r="A15" s="35" t="s">
        <v>66</v>
      </c>
      <c r="B15" s="25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</row>
    <row r="16" spans="1:65" ht="24.95" customHeight="1" x14ac:dyDescent="0.2">
      <c r="A16" s="34" t="s">
        <v>67</v>
      </c>
      <c r="B16" s="26">
        <f>760/40.3399</f>
        <v>18.839907882766195</v>
      </c>
      <c r="C16" s="26">
        <f>775/40.3399</f>
        <v>19.211748169926054</v>
      </c>
      <c r="D16" s="27">
        <f>790/40.3399</f>
        <v>19.583588457085913</v>
      </c>
      <c r="E16" s="26">
        <v>19.97</v>
      </c>
      <c r="F16" s="28">
        <v>20.38</v>
      </c>
      <c r="G16" s="28">
        <v>20.8</v>
      </c>
      <c r="H16" s="28">
        <v>21.19</v>
      </c>
      <c r="I16" s="28">
        <v>21.64</v>
      </c>
      <c r="J16" s="29">
        <f>890/40.3399</f>
        <v>22.062523704818307</v>
      </c>
      <c r="K16" s="29">
        <f>908/40.3399</f>
        <v>22.508732049410138</v>
      </c>
      <c r="L16" s="27">
        <f>926/40.3399</f>
        <v>22.954940394001969</v>
      </c>
      <c r="M16" s="27">
        <f>945/40.3399</f>
        <v>23.425938091071124</v>
      </c>
      <c r="N16" s="27">
        <f>945/40.3399</f>
        <v>23.425938091071124</v>
      </c>
      <c r="O16" s="27">
        <f>963/40.3399</f>
        <v>23.872146435662955</v>
      </c>
      <c r="P16" s="27">
        <f>963/40.3399</f>
        <v>23.872146435662955</v>
      </c>
      <c r="Q16" s="29">
        <f>983/40.3399</f>
        <v>24.367933485209434</v>
      </c>
      <c r="R16" s="27">
        <f>1002/40.3399</f>
        <v>24.838931182278589</v>
      </c>
      <c r="S16" s="27">
        <f>1002/40.3399</f>
        <v>24.838931182278589</v>
      </c>
      <c r="T16" s="27">
        <f>1022/40.3399</f>
        <v>25.334718231825068</v>
      </c>
      <c r="U16" s="27">
        <f>1064/40.3399</f>
        <v>26.37587103587267</v>
      </c>
      <c r="V16" s="27">
        <f>1106/40.3399</f>
        <v>27.417023839920276</v>
      </c>
      <c r="W16" s="27">
        <f>1128/40.3399</f>
        <v>27.962389594421403</v>
      </c>
      <c r="X16" s="27">
        <f>1174/40.3399</f>
        <v>29.102699808378304</v>
      </c>
      <c r="Y16" s="27">
        <f>1197/40.3399</f>
        <v>29.672854915356755</v>
      </c>
      <c r="Z16" s="27">
        <f>1221/40.3399</f>
        <v>30.26779937481253</v>
      </c>
      <c r="AA16" s="29">
        <f>1246/40.3399</f>
        <v>30.887533186745628</v>
      </c>
      <c r="AB16" s="28">
        <v>31.23</v>
      </c>
      <c r="AC16" s="28">
        <v>31.85</v>
      </c>
      <c r="AD16" s="28">
        <v>32.5</v>
      </c>
      <c r="AE16" s="28">
        <v>33.14</v>
      </c>
      <c r="AF16" s="28">
        <v>33.81</v>
      </c>
      <c r="AG16" s="28">
        <v>34.49</v>
      </c>
      <c r="AH16" s="28">
        <v>35.17</v>
      </c>
      <c r="AI16" s="28">
        <v>36.5</v>
      </c>
      <c r="AJ16" s="28">
        <v>37.229999999999997</v>
      </c>
      <c r="AK16" s="28">
        <v>37.229999999999997</v>
      </c>
      <c r="AL16" s="28">
        <v>37.97</v>
      </c>
      <c r="AM16" s="28">
        <v>37.97</v>
      </c>
      <c r="AN16" s="28">
        <v>38.729999999999997</v>
      </c>
      <c r="AO16" s="28">
        <v>38.729999999999997</v>
      </c>
      <c r="AP16" s="28">
        <v>39.51</v>
      </c>
      <c r="AQ16" s="28">
        <v>40.299999999999997</v>
      </c>
      <c r="AR16" s="28">
        <v>42.47</v>
      </c>
      <c r="AS16" s="27">
        <v>43.32</v>
      </c>
      <c r="AT16" s="27">
        <v>44.19</v>
      </c>
      <c r="AU16" s="27">
        <v>45.07</v>
      </c>
      <c r="AV16" s="27">
        <v>45.97</v>
      </c>
      <c r="AW16" s="27">
        <v>46.89</v>
      </c>
      <c r="AX16" s="27">
        <v>49.26</v>
      </c>
      <c r="AY16" s="27">
        <v>49.26</v>
      </c>
      <c r="AZ16" s="27">
        <v>50.25</v>
      </c>
      <c r="BA16" s="27">
        <v>51.25</v>
      </c>
      <c r="BB16" s="27">
        <v>52.28</v>
      </c>
      <c r="BC16" s="27">
        <v>53.32</v>
      </c>
      <c r="BD16" s="27" t="s">
        <v>31</v>
      </c>
      <c r="BE16" s="27">
        <v>53.99</v>
      </c>
      <c r="BF16" s="27" t="s">
        <v>31</v>
      </c>
      <c r="BG16" s="27">
        <v>55.07</v>
      </c>
      <c r="BH16" s="27" t="s">
        <v>31</v>
      </c>
      <c r="BI16" s="28">
        <v>56.17</v>
      </c>
      <c r="BJ16" s="42">
        <v>57.29</v>
      </c>
      <c r="BK16" s="42">
        <v>58.27</v>
      </c>
      <c r="BL16" s="42">
        <v>58.68</v>
      </c>
      <c r="BM16" s="42">
        <v>59.85</v>
      </c>
    </row>
    <row r="17" spans="1:71" ht="24.95" customHeight="1" x14ac:dyDescent="0.2">
      <c r="A17" s="34" t="s">
        <v>68</v>
      </c>
      <c r="B17" s="26">
        <f>1465/40.3399</f>
        <v>36.316401379279569</v>
      </c>
      <c r="C17" s="26">
        <f>1494/40.3399</f>
        <v>37.035292601121967</v>
      </c>
      <c r="D17" s="27">
        <f>1524/40.3399</f>
        <v>37.778973175441685</v>
      </c>
      <c r="E17" s="26">
        <v>38.53</v>
      </c>
      <c r="F17" s="28">
        <v>39.32</v>
      </c>
      <c r="G17" s="28">
        <v>40.11</v>
      </c>
      <c r="H17" s="28">
        <v>40.9</v>
      </c>
      <c r="I17" s="28">
        <v>41.72</v>
      </c>
      <c r="J17" s="27">
        <f>1717/40.3399</f>
        <v>42.563318203565203</v>
      </c>
      <c r="K17" s="29">
        <f>1751/40.3399</f>
        <v>43.406156187794217</v>
      </c>
      <c r="L17" s="27">
        <f>1786/40.3399</f>
        <v>44.273783524500558</v>
      </c>
      <c r="M17" s="27">
        <f>1822/40.3399</f>
        <v>45.16620021368422</v>
      </c>
      <c r="N17" s="27">
        <f>1822/40.3399</f>
        <v>45.16620021368422</v>
      </c>
      <c r="O17" s="27">
        <f>1715/40.3399</f>
        <v>42.513739498610555</v>
      </c>
      <c r="P17" s="27">
        <f>1715/40.3399</f>
        <v>42.513739498610555</v>
      </c>
      <c r="Q17" s="29">
        <f>1750/40.3399</f>
        <v>43.381366835316896</v>
      </c>
      <c r="R17" s="27">
        <f>1847/40.3399</f>
        <v>45.785934025617316</v>
      </c>
      <c r="S17" s="27">
        <f>1847/40.3399</f>
        <v>45.785934025617316</v>
      </c>
      <c r="T17" s="27">
        <f>1847/40.3399</f>
        <v>45.785934025617316</v>
      </c>
      <c r="U17" s="27">
        <f>1857/40.3399</f>
        <v>46.033827550390555</v>
      </c>
      <c r="V17" s="27">
        <f>1894/40.3399</f>
        <v>46.951033592051544</v>
      </c>
      <c r="W17" s="27">
        <f>1932/40.3399</f>
        <v>47.893028986189854</v>
      </c>
      <c r="X17" s="27">
        <f>1970/40.3399</f>
        <v>48.835024380328164</v>
      </c>
      <c r="Y17" s="27">
        <f>2010/40.3399</f>
        <v>49.826598479421122</v>
      </c>
      <c r="Z17" s="27">
        <f>2050/40.3399</f>
        <v>50.81817257851408</v>
      </c>
      <c r="AA17" s="29">
        <f>2091/40.3399</f>
        <v>51.834536030084358</v>
      </c>
      <c r="AB17" s="28">
        <v>51.83</v>
      </c>
      <c r="AC17" s="28">
        <v>52.88</v>
      </c>
      <c r="AD17" s="27">
        <v>53.92</v>
      </c>
      <c r="AE17" s="28">
        <v>55.01</v>
      </c>
      <c r="AF17" s="28">
        <v>56.1</v>
      </c>
      <c r="AG17" s="28">
        <v>57.23</v>
      </c>
      <c r="AH17" s="28">
        <v>58.37</v>
      </c>
      <c r="AI17" s="28">
        <v>58.37</v>
      </c>
      <c r="AJ17" s="28">
        <v>59.54</v>
      </c>
      <c r="AK17" s="28">
        <v>59.54</v>
      </c>
      <c r="AL17" s="28">
        <v>60.73</v>
      </c>
      <c r="AM17" s="28">
        <v>65.790000000000006</v>
      </c>
      <c r="AN17" s="28">
        <v>67.11</v>
      </c>
      <c r="AO17" s="28">
        <v>68.45</v>
      </c>
      <c r="AP17" s="28">
        <v>69.819999999999993</v>
      </c>
      <c r="AQ17" s="28">
        <v>71.209999999999994</v>
      </c>
      <c r="AR17" s="28">
        <v>71.930000000000007</v>
      </c>
      <c r="AS17" s="29">
        <v>71.930000000000007</v>
      </c>
      <c r="AT17" s="27">
        <v>73.37</v>
      </c>
      <c r="AU17" s="27">
        <v>74.83</v>
      </c>
      <c r="AV17" s="27">
        <v>74.83</v>
      </c>
      <c r="AW17" s="27">
        <v>76.33</v>
      </c>
      <c r="AX17" s="27">
        <v>78.48</v>
      </c>
      <c r="AY17" s="27">
        <v>79.03</v>
      </c>
      <c r="AZ17" s="27">
        <v>80.599999999999994</v>
      </c>
      <c r="BA17" s="27">
        <v>80.599999999999994</v>
      </c>
      <c r="BB17" s="27">
        <v>82.22</v>
      </c>
      <c r="BC17" s="27">
        <v>83.86</v>
      </c>
      <c r="BD17" s="27">
        <v>85.54</v>
      </c>
      <c r="BE17" s="27" t="s">
        <v>31</v>
      </c>
      <c r="BF17" s="27">
        <v>86.61</v>
      </c>
      <c r="BG17" s="27" t="s">
        <v>31</v>
      </c>
      <c r="BH17" s="27" t="s">
        <v>31</v>
      </c>
      <c r="BI17" s="28">
        <v>88.34</v>
      </c>
      <c r="BJ17" s="42">
        <v>90.11</v>
      </c>
      <c r="BK17" s="42">
        <v>90.11</v>
      </c>
      <c r="BL17" s="42">
        <v>90.83</v>
      </c>
      <c r="BM17" s="42">
        <v>92.64</v>
      </c>
    </row>
    <row r="18" spans="1:71" ht="24.95" customHeight="1" x14ac:dyDescent="0.2">
      <c r="A18" s="34" t="s">
        <v>69</v>
      </c>
      <c r="B18" s="26">
        <f>515/40.3399</f>
        <v>12.76651652582183</v>
      </c>
      <c r="C18" s="26">
        <f>525/40.3399</f>
        <v>13.014410050595068</v>
      </c>
      <c r="D18" s="27">
        <f>536/40.3399</f>
        <v>13.287092927845631</v>
      </c>
      <c r="E18" s="26">
        <f>547/40.3399</f>
        <v>13.559775805096194</v>
      </c>
      <c r="F18" s="28">
        <v>13.83</v>
      </c>
      <c r="G18" s="28">
        <v>14.11</v>
      </c>
      <c r="H18" s="28">
        <v>14.38</v>
      </c>
      <c r="I18" s="28">
        <v>14.68</v>
      </c>
      <c r="J18" s="27">
        <f>604/40.3399</f>
        <v>14.972768896303659</v>
      </c>
      <c r="K18" s="29">
        <f>616/40.3399</f>
        <v>15.270241126031546</v>
      </c>
      <c r="L18" s="27">
        <f>659/40.3399</f>
        <v>16.336183282556476</v>
      </c>
      <c r="M18" s="27">
        <f>672/40.3399</f>
        <v>16.658444864761687</v>
      </c>
      <c r="N18" s="27">
        <f>686/40.3399</f>
        <v>17.005495799444223</v>
      </c>
      <c r="O18" s="27">
        <f>700/40.3399</f>
        <v>17.352546734126758</v>
      </c>
      <c r="P18" s="27">
        <v>18.05</v>
      </c>
      <c r="Q18" s="29">
        <f>742/40.3399</f>
        <v>18.393699538174364</v>
      </c>
      <c r="R18" s="27">
        <f>788/40.3399</f>
        <v>19.534009752131265</v>
      </c>
      <c r="S18" s="27">
        <f>804/40.3399</f>
        <v>19.930639391768448</v>
      </c>
      <c r="T18" s="27">
        <f>820/40.3399</f>
        <v>20.327269031405631</v>
      </c>
      <c r="U18" s="27">
        <f>853/40.3399</f>
        <v>21.145317663157321</v>
      </c>
      <c r="V18" s="27">
        <f>887/40.3399</f>
        <v>21.988155647386336</v>
      </c>
      <c r="W18" s="27">
        <f>905/40.3399</f>
        <v>22.434363991978167</v>
      </c>
      <c r="X18" s="27">
        <f>942/40.3399</f>
        <v>23.351570033639153</v>
      </c>
      <c r="Y18" s="27">
        <f>960/40.3399</f>
        <v>23.797778378230984</v>
      </c>
      <c r="Z18" s="27">
        <f>980/40.3399</f>
        <v>24.293565427777462</v>
      </c>
      <c r="AA18" s="29">
        <f>999/40.3399</f>
        <v>24.764563124846617</v>
      </c>
      <c r="AB18" s="28">
        <v>25.06</v>
      </c>
      <c r="AC18" s="28">
        <v>25.56</v>
      </c>
      <c r="AD18" s="28">
        <v>26.08</v>
      </c>
      <c r="AE18" s="28">
        <v>26.6</v>
      </c>
      <c r="AF18" s="28">
        <v>27.12</v>
      </c>
      <c r="AG18" s="28">
        <v>27.66</v>
      </c>
      <c r="AH18" s="28">
        <v>28.22</v>
      </c>
      <c r="AI18" s="28">
        <v>29.54</v>
      </c>
      <c r="AJ18" s="28">
        <v>30.13</v>
      </c>
      <c r="AK18" s="28">
        <v>30.13</v>
      </c>
      <c r="AL18" s="28">
        <v>30.74</v>
      </c>
      <c r="AM18" s="28">
        <v>30.74</v>
      </c>
      <c r="AN18" s="28">
        <v>31.67</v>
      </c>
      <c r="AO18" s="28">
        <v>31.67</v>
      </c>
      <c r="AP18" s="28">
        <v>32.299999999999997</v>
      </c>
      <c r="AQ18" s="28">
        <v>33.270000000000003</v>
      </c>
      <c r="AR18" s="27">
        <v>33.71</v>
      </c>
      <c r="AS18" s="29">
        <f>1.02*AR18</f>
        <v>34.3842</v>
      </c>
      <c r="AT18" s="28">
        <v>35.07</v>
      </c>
      <c r="AU18" s="28">
        <v>35.770000000000003</v>
      </c>
      <c r="AV18" s="28">
        <v>35.770000000000003</v>
      </c>
      <c r="AW18" s="28">
        <v>36.49</v>
      </c>
      <c r="AX18" s="28">
        <v>37.96</v>
      </c>
      <c r="AY18" s="28">
        <v>37.96</v>
      </c>
      <c r="AZ18" s="28">
        <v>38.72</v>
      </c>
      <c r="BA18" s="28">
        <v>39.5</v>
      </c>
      <c r="BB18" s="28">
        <v>40.29</v>
      </c>
      <c r="BC18" s="28">
        <v>41.09</v>
      </c>
      <c r="BD18" s="27" t="s">
        <v>31</v>
      </c>
      <c r="BE18" s="28">
        <v>41.92</v>
      </c>
      <c r="BF18" s="27" t="s">
        <v>31</v>
      </c>
      <c r="BG18" s="28">
        <v>42.75</v>
      </c>
      <c r="BH18" s="28">
        <v>43.61</v>
      </c>
      <c r="BI18" s="28">
        <v>44.48</v>
      </c>
      <c r="BJ18" s="42">
        <v>45.37</v>
      </c>
      <c r="BK18" s="42">
        <v>45.78</v>
      </c>
      <c r="BL18" s="42">
        <v>47.32</v>
      </c>
      <c r="BM18" s="42">
        <v>48.26</v>
      </c>
    </row>
    <row r="19" spans="1:71" ht="24.95" customHeight="1" x14ac:dyDescent="0.2">
      <c r="A19" s="35" t="s">
        <v>70</v>
      </c>
      <c r="B19" s="30"/>
      <c r="C19" s="3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42"/>
      <c r="BK19" s="42"/>
      <c r="BL19" s="43"/>
      <c r="BM19" s="43"/>
      <c r="BN19" s="11"/>
      <c r="BO19" s="11"/>
      <c r="BP19" s="11"/>
      <c r="BQ19" s="11"/>
      <c r="BR19" s="11"/>
      <c r="BS19" s="11"/>
    </row>
    <row r="20" spans="1:71" ht="24.95" customHeight="1" x14ac:dyDescent="0.2">
      <c r="A20" s="34" t="s">
        <v>67</v>
      </c>
      <c r="B20" s="30"/>
      <c r="C20" s="30"/>
      <c r="D20" s="28"/>
      <c r="E20" s="28"/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  <c r="Q20" s="30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44"/>
      <c r="BK20" s="44"/>
      <c r="BL20" s="43"/>
      <c r="BM20" s="43"/>
      <c r="BN20" s="11"/>
      <c r="BO20" s="11"/>
      <c r="BP20" s="11"/>
      <c r="BQ20" s="11"/>
      <c r="BR20" s="11"/>
      <c r="BS20" s="11"/>
    </row>
    <row r="21" spans="1:71" ht="24.95" customHeight="1" x14ac:dyDescent="0.2">
      <c r="A21" s="36" t="s">
        <v>71</v>
      </c>
      <c r="B21" s="26">
        <f>608/40.3399</f>
        <v>15.071926306212955</v>
      </c>
      <c r="C21" s="26">
        <f>620/40.3399</f>
        <v>15.369398535940842</v>
      </c>
      <c r="D21" s="27">
        <f>632/40.3399</f>
        <v>15.66687076566873</v>
      </c>
      <c r="E21" s="26">
        <v>15.98</v>
      </c>
      <c r="F21" s="27">
        <v>16.309999999999999</v>
      </c>
      <c r="G21" s="27">
        <v>16.63</v>
      </c>
      <c r="H21" s="27">
        <v>16.98</v>
      </c>
      <c r="I21" s="27">
        <v>17.3</v>
      </c>
      <c r="J21" s="27">
        <f>712/40.3399</f>
        <v>17.650018963854645</v>
      </c>
      <c r="K21" s="29">
        <f>726/40.3399</f>
        <v>17.99706989853718</v>
      </c>
      <c r="L21" s="27">
        <f>741/40.3399</f>
        <v>18.36891018569704</v>
      </c>
      <c r="M21" s="27">
        <f>756/40.3399</f>
        <v>18.740750472856899</v>
      </c>
      <c r="N21" s="27">
        <f>756/40.3399</f>
        <v>18.740750472856899</v>
      </c>
      <c r="O21" s="27">
        <f>771/40.3399</f>
        <v>19.112590760016758</v>
      </c>
      <c r="P21" s="27">
        <f>771/40.3399</f>
        <v>19.112590760016758</v>
      </c>
      <c r="Q21" s="29">
        <f>786/40.3399</f>
        <v>19.484431047176617</v>
      </c>
      <c r="R21" s="27">
        <f>802/40.3399</f>
        <v>19.8810606868138</v>
      </c>
      <c r="S21" s="27">
        <f>802/40.3399</f>
        <v>19.8810606868138</v>
      </c>
      <c r="T21" s="27">
        <f>818/40.3399</f>
        <v>20.277690326450983</v>
      </c>
      <c r="U21" s="27">
        <f>851/40.3399</f>
        <v>21.095738958202674</v>
      </c>
      <c r="V21" s="27">
        <f>885/40.3399</f>
        <v>21.938576942431688</v>
      </c>
      <c r="W21" s="27">
        <f>903/40.3399</f>
        <v>22.384785287023519</v>
      </c>
      <c r="X21" s="27">
        <f>939/40.3399</f>
        <v>23.277201976207181</v>
      </c>
      <c r="Y21" s="27">
        <f>958/40.3399</f>
        <v>23.748199673276336</v>
      </c>
      <c r="Z21" s="27">
        <f>977/40.3399</f>
        <v>24.219197370345491</v>
      </c>
      <c r="AA21" s="29">
        <f>997/40.3399</f>
        <v>24.714984419891969</v>
      </c>
      <c r="AB21" s="27">
        <v>24.99</v>
      </c>
      <c r="AC21" s="27">
        <v>25.48</v>
      </c>
      <c r="AD21" s="27">
        <v>26</v>
      </c>
      <c r="AE21" s="27">
        <v>26.52</v>
      </c>
      <c r="AF21" s="27">
        <v>27.05</v>
      </c>
      <c r="AG21" s="27">
        <v>27.6</v>
      </c>
      <c r="AH21" s="27">
        <v>28.15</v>
      </c>
      <c r="AI21" s="27">
        <v>29.14</v>
      </c>
      <c r="AJ21" s="27">
        <v>29.72</v>
      </c>
      <c r="AK21" s="27">
        <v>30.02</v>
      </c>
      <c r="AL21" s="27">
        <v>30.62</v>
      </c>
      <c r="AM21" s="27">
        <v>30.62</v>
      </c>
      <c r="AN21" s="27">
        <v>31.23</v>
      </c>
      <c r="AO21" s="27">
        <v>31.23</v>
      </c>
      <c r="AP21" s="27">
        <v>31.86</v>
      </c>
      <c r="AQ21" s="27">
        <v>32.5</v>
      </c>
      <c r="AR21" s="27">
        <v>33.99</v>
      </c>
      <c r="AS21" s="27">
        <v>34.67</v>
      </c>
      <c r="AT21" s="27">
        <v>35.36</v>
      </c>
      <c r="AU21" s="27">
        <v>36.07</v>
      </c>
      <c r="AV21" s="27">
        <v>36.79</v>
      </c>
      <c r="AW21" s="27">
        <v>37.520000000000003</v>
      </c>
      <c r="AX21" s="27">
        <v>39.42</v>
      </c>
      <c r="AY21" s="27">
        <v>39.42</v>
      </c>
      <c r="AZ21" s="27">
        <v>40.21</v>
      </c>
      <c r="BA21" s="27">
        <v>41.01</v>
      </c>
      <c r="BB21" s="27">
        <v>41.83</v>
      </c>
      <c r="BC21" s="27">
        <v>42.67</v>
      </c>
      <c r="BD21" s="27" t="s">
        <v>31</v>
      </c>
      <c r="BE21" s="27">
        <v>43.21</v>
      </c>
      <c r="BF21" s="27" t="s">
        <v>31</v>
      </c>
      <c r="BG21" s="27">
        <v>44.07</v>
      </c>
      <c r="BH21" s="27" t="s">
        <v>32</v>
      </c>
      <c r="BI21" s="27">
        <v>44.95</v>
      </c>
      <c r="BJ21" s="44">
        <v>45.85</v>
      </c>
      <c r="BK21" s="44">
        <v>46.63</v>
      </c>
      <c r="BL21" s="42">
        <v>46.96</v>
      </c>
      <c r="BM21" s="42">
        <v>47.89</v>
      </c>
      <c r="BN21" s="11"/>
      <c r="BO21" s="11"/>
      <c r="BP21" s="11"/>
      <c r="BQ21" s="11"/>
      <c r="BR21" s="11"/>
      <c r="BS21" s="11"/>
    </row>
    <row r="22" spans="1:71" ht="24.95" customHeight="1" x14ac:dyDescent="0.2">
      <c r="A22" s="36" t="s">
        <v>72</v>
      </c>
      <c r="B22" s="31" t="s">
        <v>31</v>
      </c>
      <c r="C22" s="31" t="s">
        <v>31</v>
      </c>
      <c r="D22" s="27" t="s">
        <v>31</v>
      </c>
      <c r="E22" s="27" t="s">
        <v>31</v>
      </c>
      <c r="F22" s="27" t="s">
        <v>26</v>
      </c>
      <c r="G22" s="27" t="s">
        <v>26</v>
      </c>
      <c r="H22" s="27" t="s">
        <v>26</v>
      </c>
      <c r="I22" s="27" t="s">
        <v>26</v>
      </c>
      <c r="J22" s="27" t="s">
        <v>31</v>
      </c>
      <c r="K22" s="27" t="s">
        <v>31</v>
      </c>
      <c r="L22" s="27" t="s">
        <v>31</v>
      </c>
      <c r="M22" s="27" t="s">
        <v>31</v>
      </c>
      <c r="N22" s="27" t="s">
        <v>31</v>
      </c>
      <c r="O22" s="27" t="s">
        <v>31</v>
      </c>
      <c r="P22" s="27" t="s">
        <v>31</v>
      </c>
      <c r="Q22" s="29" t="s">
        <v>31</v>
      </c>
      <c r="R22" s="27">
        <f>702/40.3399</f>
        <v>17.402125439081406</v>
      </c>
      <c r="S22" s="27">
        <f>702/40.3399</f>
        <v>17.402125439081406</v>
      </c>
      <c r="T22" s="27">
        <f>755/40.3399</f>
        <v>18.715961120379575</v>
      </c>
      <c r="U22" s="27">
        <f>785/40.3399</f>
        <v>19.459641694699293</v>
      </c>
      <c r="V22" s="27">
        <f>801/40.3399</f>
        <v>19.856271334336476</v>
      </c>
      <c r="W22" s="27">
        <f>817/40.3399</f>
        <v>20.252900973973659</v>
      </c>
      <c r="X22" s="27">
        <f>850/40.3399</f>
        <v>21.07094960572535</v>
      </c>
      <c r="Y22" s="27">
        <f>867/40.3399</f>
        <v>21.492368597839857</v>
      </c>
      <c r="Z22" s="27">
        <f>884/40.3399</f>
        <v>21.913787589954364</v>
      </c>
      <c r="AA22" s="29">
        <f>902/40.3399</f>
        <v>22.359995934546195</v>
      </c>
      <c r="AB22" s="27">
        <v>22.36</v>
      </c>
      <c r="AC22" s="27">
        <v>22.81</v>
      </c>
      <c r="AD22" s="27">
        <v>23.28</v>
      </c>
      <c r="AE22" s="27">
        <v>23.72</v>
      </c>
      <c r="AF22" s="27">
        <v>24.19</v>
      </c>
      <c r="AG22" s="27">
        <v>24.69</v>
      </c>
      <c r="AH22" s="27">
        <v>25.18</v>
      </c>
      <c r="AI22" s="27">
        <v>26.13</v>
      </c>
      <c r="AJ22" s="27">
        <v>26.65</v>
      </c>
      <c r="AK22" s="27">
        <v>26.65</v>
      </c>
      <c r="AL22" s="27">
        <v>27.18</v>
      </c>
      <c r="AM22" s="27">
        <v>27.18</v>
      </c>
      <c r="AN22" s="27">
        <v>27.73</v>
      </c>
      <c r="AO22" s="27">
        <v>27.73</v>
      </c>
      <c r="AP22" s="27">
        <v>28.28</v>
      </c>
      <c r="AQ22" s="27">
        <v>28.85</v>
      </c>
      <c r="AR22" s="26">
        <v>29.42</v>
      </c>
      <c r="AS22" s="27">
        <v>30.01</v>
      </c>
      <c r="AT22" s="27">
        <v>30.62</v>
      </c>
      <c r="AU22" s="27">
        <v>31.23</v>
      </c>
      <c r="AV22" s="27">
        <v>31.23</v>
      </c>
      <c r="AW22" s="27">
        <v>31.85</v>
      </c>
      <c r="AX22" s="27">
        <v>33.799999999999997</v>
      </c>
      <c r="AY22" s="27">
        <v>33.799999999999997</v>
      </c>
      <c r="AZ22" s="27">
        <v>34.479999999999997</v>
      </c>
      <c r="BA22" s="27">
        <v>35.17</v>
      </c>
      <c r="BB22" s="27">
        <v>35.869999999999997</v>
      </c>
      <c r="BC22" s="27">
        <v>36.590000000000003</v>
      </c>
      <c r="BD22" s="27" t="s">
        <v>31</v>
      </c>
      <c r="BE22" s="27">
        <v>37.049999999999997</v>
      </c>
      <c r="BF22" s="27" t="s">
        <v>31</v>
      </c>
      <c r="BG22" s="27">
        <v>37.79</v>
      </c>
      <c r="BH22" s="27" t="s">
        <v>31</v>
      </c>
      <c r="BI22" s="27">
        <v>38.54</v>
      </c>
      <c r="BJ22" s="44">
        <v>39.31</v>
      </c>
      <c r="BK22" s="44">
        <v>39.979999999999997</v>
      </c>
      <c r="BL22" s="42">
        <v>39.979999999999997</v>
      </c>
      <c r="BM22" s="42">
        <v>40.78</v>
      </c>
    </row>
    <row r="23" spans="1:71" ht="24.95" customHeight="1" x14ac:dyDescent="0.2">
      <c r="A23" s="34" t="s">
        <v>68</v>
      </c>
      <c r="B23" s="32"/>
      <c r="C23" s="32"/>
      <c r="D23" s="28"/>
      <c r="E23" s="28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30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44"/>
      <c r="BK23" s="44"/>
      <c r="BL23" s="45"/>
      <c r="BM23" s="45"/>
    </row>
    <row r="24" spans="1:71" ht="24.95" customHeight="1" x14ac:dyDescent="0.2">
      <c r="A24" s="36" t="s">
        <v>86</v>
      </c>
      <c r="B24" s="31" t="s">
        <v>31</v>
      </c>
      <c r="C24" s="31" t="s">
        <v>31</v>
      </c>
      <c r="D24" s="27" t="s">
        <v>31</v>
      </c>
      <c r="E24" s="27" t="s">
        <v>31</v>
      </c>
      <c r="F24" s="27" t="s">
        <v>26</v>
      </c>
      <c r="G24" s="27" t="s">
        <v>26</v>
      </c>
      <c r="H24" s="27" t="s">
        <v>26</v>
      </c>
      <c r="I24" s="27" t="s">
        <v>26</v>
      </c>
      <c r="J24" s="27" t="s">
        <v>31</v>
      </c>
      <c r="K24" s="27" t="s">
        <v>31</v>
      </c>
      <c r="L24" s="27">
        <f>1195/40.3399</f>
        <v>29.623276210402107</v>
      </c>
      <c r="M24" s="27">
        <f>1219/40.3399</f>
        <v>30.218220669857882</v>
      </c>
      <c r="N24" s="27">
        <f>1219/40.3399</f>
        <v>30.218220669857882</v>
      </c>
      <c r="O24" s="27">
        <f>1143/40.3399</f>
        <v>28.334229881581262</v>
      </c>
      <c r="P24" s="27">
        <f>1143/40.3399</f>
        <v>28.334229881581262</v>
      </c>
      <c r="Q24" s="29">
        <f>1166/40.3399</f>
        <v>28.904384988559713</v>
      </c>
      <c r="R24" s="27">
        <f t="shared" ref="R24:T25" si="0">1236/40.3399</f>
        <v>30.639639661972389</v>
      </c>
      <c r="S24" s="27">
        <f t="shared" si="0"/>
        <v>30.639639661972389</v>
      </c>
      <c r="T24" s="27">
        <f t="shared" si="0"/>
        <v>30.639639661972389</v>
      </c>
      <c r="U24" s="27">
        <f>1238/40.3399</f>
        <v>30.689218366927037</v>
      </c>
      <c r="V24" s="27">
        <f>1263/40.3399</f>
        <v>31.308952178860135</v>
      </c>
      <c r="W24" s="27">
        <f>1288/40.3399</f>
        <v>31.928685990793234</v>
      </c>
      <c r="X24" s="27">
        <f>1314/40.3399</f>
        <v>32.573209155203656</v>
      </c>
      <c r="Y24" s="27">
        <f>1340/40.3399</f>
        <v>33.217732319614079</v>
      </c>
      <c r="Z24" s="27">
        <f>1367/40.3399</f>
        <v>33.887044836501829</v>
      </c>
      <c r="AA24" s="29">
        <f>1394/40.3399</f>
        <v>34.556357353389572</v>
      </c>
      <c r="AB24" s="27">
        <v>34.56</v>
      </c>
      <c r="AC24" s="27">
        <v>35.25</v>
      </c>
      <c r="AD24" s="27">
        <v>35.94</v>
      </c>
      <c r="AE24" s="27">
        <v>36.659999999999997</v>
      </c>
      <c r="AF24" s="27">
        <v>37.409999999999997</v>
      </c>
      <c r="AG24" s="27">
        <v>38.15</v>
      </c>
      <c r="AH24" s="27">
        <v>38.909999999999997</v>
      </c>
      <c r="AI24" s="27">
        <v>38.909999999999997</v>
      </c>
      <c r="AJ24" s="27">
        <v>39.69</v>
      </c>
      <c r="AK24" s="27">
        <v>39.69</v>
      </c>
      <c r="AL24" s="27">
        <v>40.479999999999997</v>
      </c>
      <c r="AM24" s="27">
        <v>50.61</v>
      </c>
      <c r="AN24" s="27">
        <v>51.62</v>
      </c>
      <c r="AO24" s="27">
        <v>52.65</v>
      </c>
      <c r="AP24" s="27">
        <v>53.71</v>
      </c>
      <c r="AQ24" s="27">
        <v>54.78</v>
      </c>
      <c r="AR24" s="27">
        <v>55.33</v>
      </c>
      <c r="AS24" s="27" t="s">
        <v>31</v>
      </c>
      <c r="AT24" s="27">
        <v>59.82</v>
      </c>
      <c r="AU24" s="27">
        <v>61.02</v>
      </c>
      <c r="AV24" s="27">
        <v>61.02</v>
      </c>
      <c r="AW24" s="27">
        <v>62.24</v>
      </c>
      <c r="AX24" s="27">
        <v>66.400000000000006</v>
      </c>
      <c r="AY24" s="27">
        <v>66.87</v>
      </c>
      <c r="AZ24" s="27">
        <v>68.2</v>
      </c>
      <c r="BA24" s="27">
        <v>68.2</v>
      </c>
      <c r="BB24" s="27">
        <v>69.569999999999993</v>
      </c>
      <c r="BC24" s="27">
        <v>70.959999999999994</v>
      </c>
      <c r="BD24" s="27">
        <v>72.38</v>
      </c>
      <c r="BE24" s="27" t="s">
        <v>31</v>
      </c>
      <c r="BF24" s="27">
        <v>73.290000000000006</v>
      </c>
      <c r="BG24" s="27" t="s">
        <v>31</v>
      </c>
      <c r="BH24" s="27" t="s">
        <v>31</v>
      </c>
      <c r="BI24" s="27">
        <v>74.75</v>
      </c>
      <c r="BJ24" s="44">
        <v>76.25</v>
      </c>
      <c r="BK24" s="44">
        <v>76.25</v>
      </c>
      <c r="BL24" s="42">
        <v>76.86</v>
      </c>
      <c r="BM24" s="42">
        <v>78.39</v>
      </c>
    </row>
    <row r="25" spans="1:71" ht="24.95" customHeight="1" x14ac:dyDescent="0.2">
      <c r="A25" s="36" t="s">
        <v>72</v>
      </c>
      <c r="B25" s="31" t="s">
        <v>31</v>
      </c>
      <c r="C25" s="31" t="s">
        <v>31</v>
      </c>
      <c r="D25" s="27" t="s">
        <v>31</v>
      </c>
      <c r="E25" s="27" t="s">
        <v>31</v>
      </c>
      <c r="F25" s="27" t="s">
        <v>31</v>
      </c>
      <c r="G25" s="27" t="s">
        <v>31</v>
      </c>
      <c r="H25" s="27" t="s">
        <v>31</v>
      </c>
      <c r="I25" s="27" t="s">
        <v>31</v>
      </c>
      <c r="J25" s="27" t="s">
        <v>31</v>
      </c>
      <c r="K25" s="27" t="s">
        <v>31</v>
      </c>
      <c r="L25" s="27" t="s">
        <v>31</v>
      </c>
      <c r="M25" s="27" t="s">
        <v>31</v>
      </c>
      <c r="N25" s="27" t="s">
        <v>31</v>
      </c>
      <c r="O25" s="27" t="s">
        <v>31</v>
      </c>
      <c r="P25" s="27" t="s">
        <v>31</v>
      </c>
      <c r="Q25" s="29" t="s">
        <v>31</v>
      </c>
      <c r="R25" s="29">
        <v>30.64</v>
      </c>
      <c r="S25" s="27">
        <f t="shared" si="0"/>
        <v>30.639639661972389</v>
      </c>
      <c r="T25" s="27">
        <f t="shared" si="0"/>
        <v>30.639639661972389</v>
      </c>
      <c r="U25" s="27">
        <f>1238/40.3399</f>
        <v>30.689218366927037</v>
      </c>
      <c r="V25" s="27">
        <f>1263/40.3399</f>
        <v>31.308952178860135</v>
      </c>
      <c r="W25" s="27">
        <f>1288/40.3399</f>
        <v>31.928685990793234</v>
      </c>
      <c r="X25" s="27">
        <f>1314/40.3399</f>
        <v>32.573209155203656</v>
      </c>
      <c r="Y25" s="27">
        <f>1340/40.3399</f>
        <v>33.217732319614079</v>
      </c>
      <c r="Z25" s="27">
        <f>1367/40.3399</f>
        <v>33.887044836501829</v>
      </c>
      <c r="AA25" s="29">
        <f>1394/40.3399</f>
        <v>34.556357353389572</v>
      </c>
      <c r="AB25" s="27" t="s">
        <v>31</v>
      </c>
      <c r="AC25" s="27" t="s">
        <v>31</v>
      </c>
      <c r="AD25" s="27" t="s">
        <v>31</v>
      </c>
      <c r="AE25" s="27" t="s">
        <v>31</v>
      </c>
      <c r="AF25" s="27" t="s">
        <v>31</v>
      </c>
      <c r="AG25" s="27" t="s">
        <v>31</v>
      </c>
      <c r="AH25" s="27" t="s">
        <v>31</v>
      </c>
      <c r="AI25" s="27" t="s">
        <v>31</v>
      </c>
      <c r="AJ25" s="27" t="s">
        <v>31</v>
      </c>
      <c r="AK25" s="27" t="s">
        <v>31</v>
      </c>
      <c r="AL25" s="27" t="s">
        <v>31</v>
      </c>
      <c r="AM25" s="27">
        <v>40.479999999999997</v>
      </c>
      <c r="AN25" s="27">
        <v>41.3</v>
      </c>
      <c r="AO25" s="27">
        <v>42.12</v>
      </c>
      <c r="AP25" s="27">
        <v>42.97</v>
      </c>
      <c r="AQ25" s="27">
        <v>43.82</v>
      </c>
      <c r="AR25" s="27">
        <v>44.26</v>
      </c>
      <c r="AS25" s="27" t="s">
        <v>31</v>
      </c>
      <c r="AT25" s="27">
        <v>45.15</v>
      </c>
      <c r="AU25" s="27">
        <v>46.05</v>
      </c>
      <c r="AV25" s="27">
        <v>46.05</v>
      </c>
      <c r="AW25" s="27">
        <v>46.97</v>
      </c>
      <c r="AX25" s="27">
        <v>48.29</v>
      </c>
      <c r="AY25" s="27">
        <v>48.63</v>
      </c>
      <c r="AZ25" s="27">
        <v>49.6</v>
      </c>
      <c r="BA25" s="27">
        <v>49.6</v>
      </c>
      <c r="BB25" s="27">
        <v>50.6</v>
      </c>
      <c r="BC25" s="27">
        <v>51.61</v>
      </c>
      <c r="BD25" s="27">
        <v>52.64</v>
      </c>
      <c r="BE25" s="27" t="s">
        <v>31</v>
      </c>
      <c r="BF25" s="27">
        <v>53.3</v>
      </c>
      <c r="BG25" s="27" t="s">
        <v>31</v>
      </c>
      <c r="BH25" s="27" t="s">
        <v>31</v>
      </c>
      <c r="BI25" s="27">
        <v>54.37</v>
      </c>
      <c r="BJ25" s="44">
        <v>55.45</v>
      </c>
      <c r="BK25" s="44">
        <v>55.45</v>
      </c>
      <c r="BL25" s="42">
        <v>55.9</v>
      </c>
      <c r="BM25" s="42">
        <v>57.01</v>
      </c>
    </row>
    <row r="26" spans="1:71" ht="24.95" customHeight="1" x14ac:dyDescent="0.2">
      <c r="A26" s="34" t="s">
        <v>69</v>
      </c>
      <c r="B26" s="26">
        <f>371/40.3399</f>
        <v>9.1968497690871818</v>
      </c>
      <c r="C26" s="26">
        <f>379/40.3399</f>
        <v>9.3951645889057733</v>
      </c>
      <c r="D26" s="27">
        <f>386/40.3399</f>
        <v>9.5686900562470409</v>
      </c>
      <c r="E26" s="26">
        <f>394/40.3399</f>
        <v>9.7670048760656325</v>
      </c>
      <c r="F26" s="28">
        <v>9.94</v>
      </c>
      <c r="G26" s="28">
        <v>10.14</v>
      </c>
      <c r="H26" s="28">
        <v>10.36</v>
      </c>
      <c r="I26" s="28">
        <v>10.56</v>
      </c>
      <c r="J26" s="27">
        <f>435/40.3399</f>
        <v>10.783368327635914</v>
      </c>
      <c r="K26" s="29">
        <f>444/40.3399</f>
        <v>11.00647249993183</v>
      </c>
      <c r="L26" s="27">
        <f>475/40.3399</f>
        <v>11.774942426728872</v>
      </c>
      <c r="M26" s="27">
        <f>484/40.3399</f>
        <v>11.998046599024788</v>
      </c>
      <c r="N26" s="27">
        <f>494/40.3399</f>
        <v>12.245940123798027</v>
      </c>
      <c r="O26" s="27">
        <f>504/40.3399</f>
        <v>12.493833648571266</v>
      </c>
      <c r="P26" s="27">
        <v>12.99</v>
      </c>
      <c r="Q26" s="29">
        <f>535/40.3399</f>
        <v>13.262303575368307</v>
      </c>
      <c r="R26" s="27">
        <f>591/40.3399</f>
        <v>14.650507314098448</v>
      </c>
      <c r="S26" s="27">
        <f>603/40.3399</f>
        <v>14.947979543826335</v>
      </c>
      <c r="T26" s="27">
        <f>615/40.3399</f>
        <v>15.245451773554223</v>
      </c>
      <c r="U26" s="27">
        <f>640/40.3399</f>
        <v>15.865185585487321</v>
      </c>
      <c r="V26" s="27">
        <f>665/40.3399</f>
        <v>16.48491939742042</v>
      </c>
      <c r="W26" s="27">
        <f>679/40.3399</f>
        <v>16.831970332102955</v>
      </c>
      <c r="X26" s="27">
        <f>706/40.3399</f>
        <v>17.501282848990702</v>
      </c>
      <c r="Y26" s="27">
        <f>720/40.3399</f>
        <v>17.848333783673237</v>
      </c>
      <c r="Z26" s="27">
        <f>735/40.3399</f>
        <v>18.220174070833096</v>
      </c>
      <c r="AA26" s="29">
        <f>749/40.3399</f>
        <v>18.567225005515631</v>
      </c>
      <c r="AB26" s="28">
        <v>18.79</v>
      </c>
      <c r="AC26" s="28">
        <v>19.16</v>
      </c>
      <c r="AD26" s="28">
        <v>19.559999999999999</v>
      </c>
      <c r="AE26" s="28">
        <v>19.93</v>
      </c>
      <c r="AF26" s="28">
        <v>20.350000000000001</v>
      </c>
      <c r="AG26" s="28" t="s">
        <v>49</v>
      </c>
      <c r="AH26" s="28">
        <v>21.16</v>
      </c>
      <c r="AI26" s="28">
        <v>22.16</v>
      </c>
      <c r="AJ26" s="28">
        <v>22.6</v>
      </c>
      <c r="AK26" s="28">
        <v>22.6</v>
      </c>
      <c r="AL26" s="28">
        <v>23.05</v>
      </c>
      <c r="AM26" s="28">
        <v>23.05</v>
      </c>
      <c r="AN26" s="28">
        <v>23.75</v>
      </c>
      <c r="AO26" s="28">
        <v>23.75</v>
      </c>
      <c r="AP26" s="28">
        <v>24.22</v>
      </c>
      <c r="AQ26" s="28">
        <v>24.96</v>
      </c>
      <c r="AR26" s="27">
        <v>25.28</v>
      </c>
      <c r="AS26" s="27" t="s">
        <v>31</v>
      </c>
      <c r="AT26" s="28">
        <v>26.31</v>
      </c>
      <c r="AU26" s="28">
        <v>26.83</v>
      </c>
      <c r="AV26" s="28">
        <v>26.83</v>
      </c>
      <c r="AW26" s="28">
        <v>27.37</v>
      </c>
      <c r="AX26" s="28">
        <v>28.47</v>
      </c>
      <c r="AY26" s="28">
        <v>28.47</v>
      </c>
      <c r="AZ26" s="28">
        <v>29.04</v>
      </c>
      <c r="BA26" s="28">
        <v>29.62</v>
      </c>
      <c r="BB26" s="28">
        <v>30.22</v>
      </c>
      <c r="BC26" s="28">
        <v>30.82</v>
      </c>
      <c r="BD26" s="27" t="s">
        <v>31</v>
      </c>
      <c r="BE26" s="28">
        <v>31.44</v>
      </c>
      <c r="BF26" s="27" t="s">
        <v>31</v>
      </c>
      <c r="BG26" s="28">
        <v>32.07</v>
      </c>
      <c r="BH26" s="28">
        <v>32.71</v>
      </c>
      <c r="BI26" s="28">
        <v>33.36</v>
      </c>
      <c r="BJ26" s="42">
        <v>34.03</v>
      </c>
      <c r="BK26" s="42">
        <v>34.33</v>
      </c>
      <c r="BL26" s="42">
        <v>34.33</v>
      </c>
      <c r="BM26" s="42">
        <v>35.020000000000003</v>
      </c>
    </row>
    <row r="27" spans="1:71" ht="24.95" customHeight="1" x14ac:dyDescent="0.2">
      <c r="A27" s="2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24"/>
    </row>
    <row r="28" spans="1:71" ht="24.95" customHeight="1" x14ac:dyDescent="0.2">
      <c r="A28" s="37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71" ht="24.95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71" ht="24.95" customHeight="1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71" s="11" customFormat="1" ht="24.95" customHeight="1" x14ac:dyDescent="0.2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71" s="11" customFormat="1" ht="24.95" customHeight="1" x14ac:dyDescent="0.2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s="11" customFormat="1" ht="24.95" customHeight="1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1" customFormat="1" ht="24.95" customHeight="1" x14ac:dyDescent="0.2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s="11" customFormat="1" ht="24.95" customHeight="1" x14ac:dyDescent="0.2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s="11" customFormat="1" ht="24.95" customHeight="1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1" customFormat="1" x14ac:dyDescent="0.2"/>
    <row r="38" spans="1:61" s="11" customFormat="1" x14ac:dyDescent="0.2"/>
    <row r="39" spans="1:61" x14ac:dyDescent="0.2">
      <c r="A39" s="11"/>
    </row>
  </sheetData>
  <customSheetViews>
    <customSheetView guid="{3B9C46A2-708E-49D1-97D6-E23A3270B654}" showGridLines="0" hiddenRows="1" hiddenColumns="1" topLeftCell="B2">
      <selection activeCell="C22" sqref="C22"/>
      <pageMargins left="0.7" right="0.7" top="0.75" bottom="0.75" header="0.3" footer="0.3"/>
      <pageSetup paperSize="9" orientation="portrait" r:id="rId1"/>
    </customSheetView>
    <customSheetView guid="{23E001CE-014D-4DBF-8B1B-3B8B9F4F3BF8}" showPageBreaks="1" showGridLines="0" fitToPage="1" hiddenColumns="1">
      <pageMargins left="0.70866141732283472" right="0.70866141732283472" top="0.74803149606299213" bottom="0.74803149606299213" header="0.31496062992125984" footer="0.31496062992125984"/>
      <pageSetup paperSize="9" scale="55" fitToWidth="0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55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II-B-8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2020-06-15T08:22:14Z</dcterms:created>
  <dcterms:modified xsi:type="dcterms:W3CDTF">2020-06-15T08:22:17Z</dcterms:modified>
</cp:coreProperties>
</file>