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 defaultThemeVersion="124226"/>
  <xr:revisionPtr revIDLastSave="0" documentId="13_ncr:1_{4C5C30D1-08D9-43E9-B856-BB9BA8D853DB}" xr6:coauthVersionLast="44" xr6:coauthVersionMax="44" xr10:uidLastSave="{00000000-0000-0000-0000-000000000000}"/>
  <bookViews>
    <workbookView xWindow="20370" yWindow="-120" windowWidth="29040" windowHeight="15840" activeTab="3" xr2:uid="{00000000-000D-0000-FFFF-FFFF00000000}"/>
  </bookViews>
  <sheets>
    <sheet name="V-C-7 (1976-1986)" sheetId="39" r:id="rId1"/>
    <sheet name="V-C-7 (1987-1996)" sheetId="40" r:id="rId2"/>
    <sheet name="V-C-7 (1997-2003)" sheetId="41" r:id="rId3"/>
    <sheet name="V-C-7 (2004-2018)" sheetId="42" r:id="rId4"/>
  </sheets>
  <definedNames>
    <definedName name="_xlnm.Print_Area" localSheetId="0">'V-C-7 (1976-1986)'!$A$2:$D$37</definedName>
    <definedName name="EssAliasTable" localSheetId="0">"Nederlands"</definedName>
    <definedName name="EssfHasNonUnique" localSheetId="0">FALSE</definedName>
    <definedName name="EssfHasNonUnique">FALSE</definedName>
    <definedName name="EssLatest" localSheetId="0">"1991"</definedName>
    <definedName name="EssOptions" localSheetId="0">"A1100000001011000000001100020_01 00"</definedName>
    <definedName name="EssSamplingValue" localSheetId="0">100</definedName>
    <definedName name="Z_0E955206_716B_452B_855D_D21006127D1F_.wvu.Cols" localSheetId="0" hidden="1">'V-C-7 (1976-1986)'!$A:$A</definedName>
    <definedName name="Z_0E955206_716B_452B_855D_D21006127D1F_.wvu.PrintArea" localSheetId="0" hidden="1">'V-C-7 (1976-1986)'!$A$10:$E$37</definedName>
    <definedName name="Z_0E955206_716B_452B_855D_D21006127D1F_.wvu.Rows" localSheetId="0" hidden="1">'V-C-7 (1976-1986)'!#REF!,'V-C-7 (1976-1986)'!$10:$10,'V-C-7 (1976-1986)'!#REF!,'V-C-7 (1976-1986)'!#REF!,'V-C-7 (1976-1986)'!#REF!</definedName>
    <definedName name="Z_38E1BB7F_6B2C_47FA_B8EF_48692DCFF448_.wvu.PrintArea" localSheetId="0" hidden="1">'V-C-7 (1976-1986)'!$A$10:$E$37</definedName>
    <definedName name="Z_4BA530B0_00CD_4136_A5A2_BE4A69A338F8_.wvu.Cols" localSheetId="0" hidden="1">'V-C-7 (1976-1986)'!#REF!</definedName>
    <definedName name="Z_4BA530B0_00CD_4136_A5A2_BE4A69A338F8_.wvu.Cols" localSheetId="1" hidden="1">'V-C-7 (1987-1996)'!#REF!</definedName>
    <definedName name="Z_4BA530B0_00CD_4136_A5A2_BE4A69A338F8_.wvu.Cols" localSheetId="2" hidden="1">'V-C-7 (1997-2003)'!#REF!</definedName>
    <definedName name="Z_4BA530B0_00CD_4136_A5A2_BE4A69A338F8_.wvu.Cols" localSheetId="3" hidden="1">'V-C-7 (2004-2018)'!#REF!</definedName>
    <definedName name="Z_4BA530B0_00CD_4136_A5A2_BE4A69A338F8_.wvu.PrintArea" localSheetId="0" hidden="1">'V-C-7 (1976-1986)'!$A$2:$D$37</definedName>
    <definedName name="Z_4BA530B0_00CD_4136_A5A2_BE4A69A338F8_.wvu.Rows" localSheetId="0" hidden="1">'V-C-7 (1976-1986)'!#REF!</definedName>
    <definedName name="Z_4BA530B0_00CD_4136_A5A2_BE4A69A338F8_.wvu.Rows" localSheetId="1" hidden="1">'V-C-7 (1987-1996)'!#REF!</definedName>
    <definedName name="Z_4BA530B0_00CD_4136_A5A2_BE4A69A338F8_.wvu.Rows" localSheetId="2" hidden="1">'V-C-7 (1997-2003)'!#REF!</definedName>
    <definedName name="Z_509236D2_234F_4D94_B898_730043398560_.wvu.Cols" localSheetId="0" hidden="1">'V-C-7 (1976-1986)'!#REF!</definedName>
    <definedName name="Z_509236D2_234F_4D94_B898_730043398560_.wvu.Rows" localSheetId="0" hidden="1">'V-C-7 (1976-1986)'!#REF!</definedName>
    <definedName name="Z_55E504A0_A194_4D30_979F_2A59828375F0_.wvu.Cols" localSheetId="0" hidden="1">'V-C-7 (1976-1986)'!#REF!,'V-C-7 (1976-1986)'!#REF!</definedName>
    <definedName name="Z_55E504A0_A194_4D30_979F_2A59828375F0_.wvu.PrintArea" localSheetId="0" hidden="1">'V-C-7 (1976-1986)'!$A$2:$C$37</definedName>
    <definedName name="Z_55E504A0_A194_4D30_979F_2A59828375F0_.wvu.Rows" localSheetId="0" hidden="1">'V-C-7 (1976-1986)'!#REF!</definedName>
    <definedName name="Z_7729C087_579D_4488_8235_730A8C5A89E1_.wvu.Cols" localSheetId="0" hidden="1">'V-C-7 (1976-1986)'!#REF!</definedName>
    <definedName name="Z_7729C087_579D_4488_8235_730A8C5A89E1_.wvu.PrintArea" localSheetId="0" hidden="1">'V-C-7 (1976-1986)'!$A$10:$E$37</definedName>
    <definedName name="Z_7729C087_579D_4488_8235_730A8C5A89E1_.wvu.Rows" localSheetId="0" hidden="1">'V-C-7 (1976-1986)'!#REF!</definedName>
    <definedName name="Z_7E13D3E2_9E38_4059_9599_2E41C6DC7CAD_.wvu.Cols" localSheetId="0" hidden="1">'V-C-7 (1976-1986)'!$A:$A</definedName>
    <definedName name="Z_7E13D3E2_9E38_4059_9599_2E41C6DC7CAD_.wvu.Cols" localSheetId="1" hidden="1">'V-C-7 (1987-1996)'!$A:$A</definedName>
    <definedName name="Z_7E13D3E2_9E38_4059_9599_2E41C6DC7CAD_.wvu.Cols" localSheetId="2" hidden="1">'V-C-7 (1997-2003)'!$A:$A</definedName>
    <definedName name="Z_7E13D3E2_9E38_4059_9599_2E41C6DC7CAD_.wvu.Cols" localSheetId="3" hidden="1">'V-C-7 (2004-2018)'!$A:$A</definedName>
    <definedName name="Z_7E13D3E2_9E38_4059_9599_2E41C6DC7CAD_.wvu.PrintArea" localSheetId="0" hidden="1">'V-C-7 (1976-1986)'!$A$2:$D$37</definedName>
    <definedName name="Z_7E13D3E2_9E38_4059_9599_2E41C6DC7CAD_.wvu.Rows" localSheetId="0" hidden="1">'V-C-7 (1976-1986)'!#REF!</definedName>
    <definedName name="Z_7E13D3E2_9E38_4059_9599_2E41C6DC7CAD_.wvu.Rows" localSheetId="1" hidden="1">'V-C-7 (1987-1996)'!#REF!</definedName>
    <definedName name="Z_7E13D3E2_9E38_4059_9599_2E41C6DC7CAD_.wvu.Rows" localSheetId="2" hidden="1">'V-C-7 (1997-2003)'!#REF!</definedName>
    <definedName name="Z_8BE90383_D74B_4FE7_A1AC_2D96D21C4696_.wvu.Cols" localSheetId="0" hidden="1">'V-C-7 (1976-1986)'!#REF!,'V-C-7 (1976-1986)'!#REF!</definedName>
    <definedName name="Z_8BE90383_D74B_4FE7_A1AC_2D96D21C4696_.wvu.PrintArea" localSheetId="0" hidden="1">'V-C-7 (1976-1986)'!$A$10:$E$37</definedName>
    <definedName name="Z_8BE90383_D74B_4FE7_A1AC_2D96D21C4696_.wvu.Rows" localSheetId="0" hidden="1">'V-C-7 (1976-1986)'!#REF!,'V-C-7 (1976-1986)'!#REF!,'V-C-7 (1976-1986)'!#REF!,'V-C-7 (1976-1986)'!#REF!,'V-C-7 (1976-1986)'!#REF!,'V-C-7 (1976-1986)'!#REF!</definedName>
    <definedName name="Z_99C9E3E5_F007_46DF_8740_08113C065C51_.wvu.Cols" localSheetId="0" hidden="1">'V-C-7 (1976-1986)'!$A:$A</definedName>
    <definedName name="Z_99C9E3E5_F007_46DF_8740_08113C065C51_.wvu.PrintArea" localSheetId="0" hidden="1">'V-C-7 (1976-1986)'!$A$10:$E$37</definedName>
    <definedName name="Z_99C9E3E5_F007_46DF_8740_08113C065C51_.wvu.Rows" localSheetId="0" hidden="1">'V-C-7 (1976-1986)'!#REF!,'V-C-7 (1976-1986)'!$10:$10,'V-C-7 (1976-1986)'!#REF!,'V-C-7 (1976-1986)'!#REF!,'V-C-7 (1976-1986)'!#REF!</definedName>
    <definedName name="Z_CA7C2C2C_E5EA_4A5E_9700_A7E8D1C87485_.wvu.PrintArea" localSheetId="0" hidden="1">'V-C-7 (1976-1986)'!$A$10:$D$37</definedName>
    <definedName name="Z_D9CC8C55_E3F7_4B53_993D_3030D1A4DB08_.wvu.Cols" localSheetId="0" hidden="1">'V-C-7 (1976-1986)'!#REF!</definedName>
    <definedName name="Z_D9CC8C55_E3F7_4B53_993D_3030D1A4DB08_.wvu.PrintArea" localSheetId="0" hidden="1">'V-C-7 (1976-1986)'!$A$10:$E$37</definedName>
    <definedName name="Z_D9CC8C55_E3F7_4B53_993D_3030D1A4DB08_.wvu.Rows" localSheetId="0" hidden="1">'V-C-7 (1976-1986)'!#REF!</definedName>
    <definedName name="Z_F16144FC_04A6_48BC_B28E_2B30DEF3F66E_.wvu.Cols" localSheetId="0" hidden="1">'V-C-7 (1976-1986)'!$A:$A</definedName>
    <definedName name="Z_F16144FC_04A6_48BC_B28E_2B30DEF3F66E_.wvu.PrintArea" localSheetId="0" hidden="1">'V-C-7 (1976-1986)'!$A$2:$D$37</definedName>
    <definedName name="Z_F16144FC_04A6_48BC_B28E_2B30DEF3F66E_.wvu.Rows" localSheetId="0" hidden="1">'V-C-7 (1976-1986)'!#REF!</definedName>
    <definedName name="Z_FE2317E1_3300_488D_A0D1_F3637A11C263_.wvu.Cols" localSheetId="0" hidden="1">'V-C-7 (1976-1986)'!#REF!,'V-C-7 (1976-1986)'!#REF!</definedName>
    <definedName name="Z_FE2317E1_3300_488D_A0D1_F3637A11C263_.wvu.PrintArea" localSheetId="0" hidden="1">'V-C-7 (1976-1986)'!$A$10:$E$37</definedName>
    <definedName name="Z_FE2317E1_3300_488D_A0D1_F3637A11C263_.wvu.Rows" localSheetId="0" hidden="1">'V-C-7 (1976-1986)'!#REF!,'V-C-7 (1976-1986)'!#REF!,'V-C-7 (1976-1986)'!#REF!,'V-C-7 (1976-1986)'!#REF!,'V-C-7 (1976-1986)'!#REF!,'V-C-7 (1976-1986)'!#REF!</definedName>
  </definedNames>
  <calcPr calcId="191029"/>
  <customWorkbookViews>
    <customWorkbookView name="FR" guid="{4BA530B0-00CD-4136-A5A2-BE4A69A338F8}" maximized="1" xWindow="-9" yWindow="-9" windowWidth="1938" windowHeight="1048" activeSheetId="42"/>
    <customWorkbookView name="NL" guid="{7E13D3E2-9E38-4059-9599-2E41C6DC7CAD}" maximized="1" xWindow="-9" yWindow="-9" windowWidth="1938" windowHeight="1048" activeSheetId="3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2" i="42" l="1"/>
  <c r="P48" i="42"/>
  <c r="P42" i="42"/>
  <c r="P35" i="42"/>
  <c r="P29" i="42"/>
  <c r="P25" i="42"/>
  <c r="P19" i="42"/>
  <c r="P12" i="42"/>
  <c r="P11" i="42" s="1"/>
  <c r="N25" i="42"/>
  <c r="M36" i="42"/>
  <c r="M13" i="42"/>
  <c r="L17" i="42"/>
  <c r="L13" i="42"/>
  <c r="K40" i="42"/>
  <c r="K36" i="42"/>
  <c r="K17" i="42"/>
  <c r="K13" i="42"/>
  <c r="J40" i="42"/>
  <c r="J36" i="42"/>
  <c r="J17" i="42"/>
  <c r="J13" i="42"/>
  <c r="I40" i="42"/>
  <c r="I36" i="42"/>
  <c r="I17" i="42"/>
  <c r="I13" i="42"/>
  <c r="H40" i="42"/>
  <c r="H36" i="42"/>
  <c r="H32" i="42"/>
  <c r="H31" i="42"/>
  <c r="H27" i="42"/>
  <c r="H22" i="42"/>
  <c r="H21" i="42"/>
  <c r="H20" i="42"/>
  <c r="H17" i="42"/>
  <c r="H13" i="42"/>
  <c r="G40" i="42"/>
  <c r="G36" i="42"/>
  <c r="G17" i="42"/>
  <c r="G13" i="42"/>
  <c r="F52" i="42"/>
  <c r="F40" i="42"/>
  <c r="F36" i="42"/>
  <c r="F35" i="42"/>
  <c r="F17" i="42"/>
  <c r="F13" i="42"/>
  <c r="E40" i="42"/>
  <c r="E36" i="42"/>
  <c r="E17" i="42"/>
  <c r="E13" i="42"/>
  <c r="D40" i="42"/>
  <c r="D36" i="42"/>
  <c r="D29" i="42"/>
  <c r="D17" i="42"/>
  <c r="D13" i="42"/>
  <c r="P34" i="42" l="1"/>
  <c r="P57" i="42" s="1"/>
  <c r="N12" i="42"/>
  <c r="O48" i="42" l="1"/>
  <c r="O42" i="42"/>
  <c r="O29" i="42"/>
  <c r="O25" i="42"/>
  <c r="O19" i="42"/>
  <c r="O12" i="42"/>
  <c r="N52" i="42"/>
  <c r="O52" i="42"/>
  <c r="O35" i="42"/>
  <c r="O34" i="42" l="1"/>
  <c r="O11" i="42"/>
  <c r="B11" i="40"/>
  <c r="L22" i="39"/>
  <c r="K22" i="39"/>
  <c r="J22" i="39"/>
  <c r="J11" i="39"/>
  <c r="K11" i="39"/>
  <c r="L11" i="39"/>
  <c r="J34" i="39"/>
  <c r="J33" i="39" s="1"/>
  <c r="K34" i="39"/>
  <c r="K33" i="39" s="1"/>
  <c r="L34" i="39"/>
  <c r="L33" i="39" s="1"/>
  <c r="O57" i="42" l="1"/>
  <c r="M19" i="42"/>
  <c r="N42" i="42" l="1"/>
  <c r="M42" i="42"/>
  <c r="L42" i="42"/>
  <c r="K42" i="42"/>
  <c r="J42" i="42"/>
  <c r="I42" i="42"/>
  <c r="H42" i="42"/>
  <c r="G42" i="42"/>
  <c r="F42" i="42"/>
  <c r="E42" i="42"/>
  <c r="D42" i="42"/>
  <c r="C42" i="42"/>
  <c r="M52" i="42"/>
  <c r="L52" i="42"/>
  <c r="L34" i="42" s="1"/>
  <c r="K52" i="42"/>
  <c r="J52" i="42"/>
  <c r="I52" i="42"/>
  <c r="H52" i="42"/>
  <c r="G52" i="42"/>
  <c r="F34" i="42"/>
  <c r="E52" i="42"/>
  <c r="D52" i="42"/>
  <c r="C52" i="42"/>
  <c r="N48" i="42"/>
  <c r="M48" i="42"/>
  <c r="L48" i="42"/>
  <c r="K48" i="42"/>
  <c r="J48" i="42"/>
  <c r="I48" i="42"/>
  <c r="H48" i="42"/>
  <c r="G48" i="42"/>
  <c r="F48" i="42"/>
  <c r="E48" i="42"/>
  <c r="E34" i="42" s="1"/>
  <c r="D48" i="42"/>
  <c r="C48" i="42"/>
  <c r="N35" i="42"/>
  <c r="M35" i="42"/>
  <c r="L35" i="42"/>
  <c r="K35" i="42"/>
  <c r="J35" i="42"/>
  <c r="J34" i="42" s="1"/>
  <c r="I35" i="42"/>
  <c r="I34" i="42" s="1"/>
  <c r="H35" i="42"/>
  <c r="H34" i="42" s="1"/>
  <c r="G35" i="42"/>
  <c r="E35" i="42"/>
  <c r="D35" i="42"/>
  <c r="D34" i="42" s="1"/>
  <c r="C35" i="42"/>
  <c r="M34" i="42"/>
  <c r="N29" i="42"/>
  <c r="M29" i="42"/>
  <c r="L29" i="42"/>
  <c r="K29" i="42"/>
  <c r="J29" i="42"/>
  <c r="I29" i="42"/>
  <c r="H29" i="42"/>
  <c r="G29" i="42"/>
  <c r="F29" i="42"/>
  <c r="E29" i="42"/>
  <c r="C29" i="42"/>
  <c r="M25" i="42"/>
  <c r="L25" i="42"/>
  <c r="K25" i="42"/>
  <c r="J25" i="42"/>
  <c r="I25" i="42"/>
  <c r="H25" i="42"/>
  <c r="G25" i="42"/>
  <c r="F25" i="42"/>
  <c r="E25" i="42"/>
  <c r="D25" i="42"/>
  <c r="C25" i="42"/>
  <c r="N19" i="42"/>
  <c r="L19" i="42"/>
  <c r="K19" i="42"/>
  <c r="J19" i="42"/>
  <c r="I19" i="42"/>
  <c r="H19" i="42"/>
  <c r="G19" i="42"/>
  <c r="F19" i="42"/>
  <c r="E19" i="42"/>
  <c r="D19" i="42"/>
  <c r="C19" i="42"/>
  <c r="M12" i="42"/>
  <c r="L12" i="42"/>
  <c r="K12" i="42"/>
  <c r="J12" i="42"/>
  <c r="I12" i="42"/>
  <c r="H12" i="42"/>
  <c r="G12" i="42"/>
  <c r="F12" i="42"/>
  <c r="E12" i="42"/>
  <c r="D12" i="42"/>
  <c r="C12" i="42"/>
  <c r="H11" i="42"/>
  <c r="B52" i="42"/>
  <c r="B48" i="42"/>
  <c r="B42" i="42"/>
  <c r="B35" i="42"/>
  <c r="B29" i="42"/>
  <c r="B25" i="42"/>
  <c r="B19" i="42"/>
  <c r="B12" i="42"/>
  <c r="B11" i="42" s="1"/>
  <c r="N34" i="42" l="1"/>
  <c r="N57" i="42" s="1"/>
  <c r="N11" i="42"/>
  <c r="G34" i="42"/>
  <c r="F11" i="42"/>
  <c r="I11" i="42"/>
  <c r="I57" i="42" s="1"/>
  <c r="J11" i="42"/>
  <c r="C11" i="42"/>
  <c r="G11" i="42"/>
  <c r="K11" i="42"/>
  <c r="L11" i="42"/>
  <c r="L57" i="42" s="1"/>
  <c r="D11" i="42"/>
  <c r="D57" i="42" s="1"/>
  <c r="B34" i="42"/>
  <c r="B57" i="42" s="1"/>
  <c r="E11" i="42"/>
  <c r="E57" i="42" s="1"/>
  <c r="M11" i="42"/>
  <c r="M57" i="42" s="1"/>
  <c r="K34" i="42"/>
  <c r="J57" i="42"/>
  <c r="H57" i="42"/>
  <c r="F57" i="42"/>
  <c r="C34" i="42"/>
  <c r="C57" i="42" s="1"/>
  <c r="G57" i="42" l="1"/>
  <c r="K57" i="42"/>
  <c r="F24" i="41"/>
  <c r="H24" i="41"/>
  <c r="G24" i="41"/>
  <c r="E24" i="41"/>
  <c r="D24" i="41"/>
  <c r="C24" i="41"/>
  <c r="B24" i="41"/>
  <c r="H11" i="41" l="1"/>
  <c r="G11" i="41"/>
  <c r="F11" i="41"/>
  <c r="E11" i="41"/>
  <c r="D11" i="41"/>
  <c r="C11" i="41"/>
  <c r="B11" i="41"/>
  <c r="K23" i="40"/>
  <c r="J23" i="40"/>
  <c r="I23" i="40"/>
  <c r="H23" i="40"/>
  <c r="G23" i="40"/>
  <c r="F23" i="40"/>
  <c r="E23" i="40"/>
  <c r="D23" i="40"/>
  <c r="C23" i="40"/>
  <c r="B23" i="40"/>
  <c r="K11" i="40"/>
  <c r="J11" i="40"/>
  <c r="I11" i="40"/>
  <c r="H11" i="40"/>
  <c r="G11" i="40"/>
  <c r="F11" i="40"/>
  <c r="E11" i="40"/>
  <c r="D11" i="40"/>
  <c r="C11" i="40"/>
  <c r="I34" i="39"/>
  <c r="I33" i="39" s="1"/>
  <c r="H34" i="39"/>
  <c r="H33" i="39" s="1"/>
  <c r="G34" i="39"/>
  <c r="G33" i="39" s="1"/>
  <c r="F34" i="39"/>
  <c r="F33" i="39" s="1"/>
  <c r="E34" i="39"/>
  <c r="E33" i="39" s="1"/>
  <c r="D34" i="39"/>
  <c r="D33" i="39" s="1"/>
  <c r="C34" i="39"/>
  <c r="C33" i="39" s="1"/>
  <c r="I22" i="39"/>
  <c r="H22" i="39"/>
  <c r="G22" i="39"/>
  <c r="F22" i="39"/>
  <c r="E22" i="39"/>
  <c r="D22" i="39"/>
  <c r="C22" i="39"/>
  <c r="I11" i="39"/>
  <c r="H11" i="39"/>
  <c r="G11" i="39"/>
  <c r="F11" i="39"/>
  <c r="E11" i="39"/>
  <c r="D11" i="39"/>
  <c r="C11" i="39"/>
  <c r="B34" i="39"/>
  <c r="B33" i="39" s="1"/>
  <c r="B22" i="39"/>
  <c r="B11" i="39"/>
  <c r="B37" i="41" l="1"/>
  <c r="F37" i="41"/>
  <c r="C37" i="41"/>
  <c r="G37" i="41"/>
  <c r="D37" i="41"/>
  <c r="H37" i="41"/>
  <c r="E37" i="41"/>
</calcChain>
</file>

<file path=xl/sharedStrings.xml><?xml version="1.0" encoding="utf-8"?>
<sst xmlns="http://schemas.openxmlformats.org/spreadsheetml/2006/main" count="255" uniqueCount="108">
  <si>
    <t xml:space="preserve">Périmètre : Sécurité sociale </t>
  </si>
  <si>
    <t>1979</t>
  </si>
  <si>
    <t>1995</t>
  </si>
  <si>
    <t>1998</t>
  </si>
  <si>
    <t>1999</t>
  </si>
  <si>
    <t>2000</t>
  </si>
  <si>
    <t>2001</t>
  </si>
  <si>
    <t>2002</t>
  </si>
  <si>
    <t>2003</t>
  </si>
  <si>
    <t>2006</t>
  </si>
  <si>
    <t>2007</t>
  </si>
  <si>
    <t>2008</t>
  </si>
  <si>
    <t>2009</t>
  </si>
  <si>
    <t>2010</t>
  </si>
  <si>
    <t>2011</t>
  </si>
  <si>
    <t>2012</t>
  </si>
  <si>
    <t>2014</t>
  </si>
  <si>
    <t>2015</t>
  </si>
  <si>
    <t>2016</t>
  </si>
  <si>
    <t>1976</t>
  </si>
  <si>
    <t>1977</t>
  </si>
  <si>
    <t>1978</t>
  </si>
  <si>
    <t>1980</t>
  </si>
  <si>
    <t>1981</t>
  </si>
  <si>
    <t>1982</t>
  </si>
  <si>
    <t>1983</t>
  </si>
  <si>
    <t xml:space="preserve">- </t>
  </si>
  <si>
    <t>n.b./p.d.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</si>
  <si>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</si>
  <si>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</si>
  <si>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</si>
  <si>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</si>
  <si>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</si>
  <si>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</si>
  <si>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</si>
  <si>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</si>
  <si>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</si>
  <si>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</si>
  <si>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</si>
  <si>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1996</t>
  </si>
  <si>
    <t>1997</t>
  </si>
  <si>
    <t>Pensions de retraite</t>
  </si>
  <si>
    <t>Autorité fédérale</t>
  </si>
  <si>
    <t>Fonctionnaires et corps spéciaux</t>
  </si>
  <si>
    <t>Organismes d'intérêt public</t>
  </si>
  <si>
    <t>Entreprises publiques autonomes</t>
  </si>
  <si>
    <t>Cultes</t>
  </si>
  <si>
    <t>Armée et ancienne gendarmerie</t>
  </si>
  <si>
    <t>Police intégrée</t>
  </si>
  <si>
    <t>Communautés et Régions</t>
  </si>
  <si>
    <t>Communauté et Région flamande</t>
  </si>
  <si>
    <t>Région wallonne</t>
  </si>
  <si>
    <t>Région Bruxelles-capitale</t>
  </si>
  <si>
    <t>Communauté française</t>
  </si>
  <si>
    <t>Communauté germanophone</t>
  </si>
  <si>
    <t>Enseignement</t>
  </si>
  <si>
    <t>Enseignement flamand</t>
  </si>
  <si>
    <t xml:space="preserve">Enseignement francophone </t>
  </si>
  <si>
    <t>Enseignement germanophone</t>
  </si>
  <si>
    <t>Pouvoirs locaux</t>
  </si>
  <si>
    <t>Administration locale flamande</t>
  </si>
  <si>
    <t>Administration locale wallonne</t>
  </si>
  <si>
    <t>Administration locale Bruxelles-Capitale</t>
  </si>
  <si>
    <t>Ancien organisme national</t>
  </si>
  <si>
    <t>Pensions de survie</t>
  </si>
  <si>
    <t>Total général</t>
  </si>
  <si>
    <t/>
  </si>
  <si>
    <t xml:space="preserve">Source: SDPDS (ex-ADP), Vade Mecum </t>
  </si>
  <si>
    <t xml:space="preserve">Unités : million EUR </t>
  </si>
  <si>
    <t xml:space="preserve">Période : 1976-1986 </t>
  </si>
  <si>
    <t xml:space="preserve">Source: Administration des pensions, Annuaire statistique </t>
  </si>
  <si>
    <t xml:space="preserve">A. Pensions de retraite </t>
  </si>
  <si>
    <t xml:space="preserve">B. Pensions de survie </t>
  </si>
  <si>
    <t xml:space="preserve">C. Pensions de retraite et de survie </t>
  </si>
  <si>
    <t xml:space="preserve">- affiliées à la Caisse de répartition du Ministère de l'Intérieur </t>
  </si>
  <si>
    <t xml:space="preserve">- non affiliées à la Caisse de répartition du Ministère de l'Intérieur </t>
  </si>
  <si>
    <t xml:space="preserve">Période : 1987-1996   </t>
  </si>
  <si>
    <t xml:space="preserve">Sous total rubrique 1-6 </t>
  </si>
  <si>
    <t xml:space="preserve">Période : 1997-2003 </t>
  </si>
  <si>
    <t xml:space="preserve">Total général </t>
  </si>
  <si>
    <t xml:space="preserve">Titre : Dépenses pensions du secteur public </t>
  </si>
  <si>
    <t xml:space="preserve">Provinces </t>
  </si>
  <si>
    <t xml:space="preserve">Communes </t>
  </si>
  <si>
    <t xml:space="preserve">Sociétés flamande et wallonne de distribution d'eau </t>
  </si>
  <si>
    <t xml:space="preserve">Société nationale des chemins de fer belges </t>
  </si>
  <si>
    <t xml:space="preserve">Communes (régime commun) </t>
  </si>
  <si>
    <t xml:space="preserve">Anciens cadres d'Afrique </t>
  </si>
  <si>
    <t xml:space="preserve">Armées et gendarmerie </t>
  </si>
  <si>
    <t xml:space="preserve">Institutions d'intérêt public (Loi du 28-04-1958) </t>
  </si>
  <si>
    <t xml:space="preserve">Régies (A.R. n°117 du 27-02-1935) </t>
  </si>
  <si>
    <t xml:space="preserve">Ministres des cultes </t>
  </si>
  <si>
    <t xml:space="preserve">Enseignement subventionné </t>
  </si>
  <si>
    <t xml:space="preserve">Personnel de l'Etat et assimilé </t>
  </si>
  <si>
    <t xml:space="preserve">Pensions de survie </t>
  </si>
  <si>
    <t xml:space="preserve">Armée et ancienne gendarmerie </t>
  </si>
  <si>
    <t xml:space="preserve">Police intégrée </t>
  </si>
  <si>
    <t>Provinces</t>
  </si>
  <si>
    <t xml:space="preserve">      n.b./p.d. un nombre de communes n'ont pas fourni d'informations</t>
  </si>
  <si>
    <t xml:space="preserve">Source : SDPDS (ex-ADP), Vade Mecum </t>
  </si>
  <si>
    <t xml:space="preserve">-  </t>
  </si>
  <si>
    <t xml:space="preserve">Période : 2004-2018 </t>
  </si>
  <si>
    <t xml:space="preserve">Régime : Public </t>
  </si>
  <si>
    <t xml:space="preserve">Branche : Pensions </t>
  </si>
  <si>
    <t>Mise à jour : Avril 2020</t>
  </si>
  <si>
    <t xml:space="preserve">Unités : Million EUR </t>
  </si>
  <si>
    <t xml:space="preserve">Régime : Secteur public </t>
  </si>
  <si>
    <t xml:space="preserve">Mise à jour : Avril 2020 </t>
  </si>
  <si>
    <t>Unités : Million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</si>
</sst>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"/>
    <numFmt numFmtId="165" formatCode="#,##0.00_)"/>
    <numFmt numFmtId="166" formatCode="#,##0.0"/>
  </numFmts>
  <fonts count="23" x14ac:knownFonts="1">
    <font>
      <sz val="10"/>
      <name val="Arial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rgb="FF333399"/>
      <name val="Century Gothic"/>
      <family val="2"/>
    </font>
    <font>
      <b/>
      <sz val="11"/>
      <color rgb="FF333399"/>
      <name val="Century Gothic"/>
      <family val="2"/>
    </font>
    <font>
      <b/>
      <sz val="10"/>
      <color rgb="FF333399"/>
      <name val="Century Gothic"/>
      <family val="2"/>
    </font>
    <font>
      <sz val="11"/>
      <color rgb="FF333399"/>
      <name val="Century Gothic"/>
      <family val="2"/>
    </font>
    <font>
      <b/>
      <sz val="14"/>
      <color rgb="FF333399"/>
      <name val="Century Gothic"/>
      <family val="2"/>
    </font>
    <font>
      <b/>
      <sz val="11"/>
      <color theme="0"/>
      <name val="Century Gothic"/>
      <family val="2"/>
    </font>
    <font>
      <b/>
      <sz val="12"/>
      <name val="Century Gothic"/>
      <family val="2"/>
    </font>
    <font>
      <sz val="10"/>
      <name val="Helvetica"/>
      <family val="2"/>
    </font>
    <font>
      <b/>
      <sz val="10"/>
      <name val="Helvetica"/>
      <family val="2"/>
    </font>
    <font>
      <sz val="12"/>
      <color rgb="FF333399"/>
      <name val="Century Gothic"/>
      <family val="2"/>
    </font>
    <font>
      <b/>
      <sz val="12"/>
      <color rgb="FF333399"/>
      <name val="Century Gothic"/>
      <family val="2"/>
    </font>
    <font>
      <sz val="12"/>
      <name val="Arial"/>
      <family val="2"/>
    </font>
    <font>
      <b/>
      <i/>
      <sz val="12"/>
      <color rgb="FF333399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rgb="FF333399"/>
      </bottom>
      <diagonal/>
    </border>
    <border>
      <left/>
      <right/>
      <top style="medium">
        <color rgb="FF333399"/>
      </top>
      <bottom/>
      <diagonal/>
    </border>
    <border>
      <left/>
      <right style="thick">
        <color rgb="FF333399"/>
      </right>
      <top style="medium">
        <color rgb="FF333399"/>
      </top>
      <bottom/>
      <diagonal/>
    </border>
    <border>
      <left/>
      <right style="thick">
        <color rgb="FF333399"/>
      </right>
      <top/>
      <bottom/>
      <diagonal/>
    </border>
    <border>
      <left style="thick">
        <color rgb="FF333399"/>
      </left>
      <right style="thick">
        <color rgb="FF333399"/>
      </right>
      <top/>
      <bottom style="medium">
        <color rgb="FF333399"/>
      </bottom>
      <diagonal/>
    </border>
    <border>
      <left style="thick">
        <color rgb="FF333399"/>
      </left>
      <right style="thick">
        <color rgb="FF333399"/>
      </right>
      <top style="medium">
        <color rgb="FF333399"/>
      </top>
      <bottom/>
      <diagonal/>
    </border>
    <border>
      <left style="thick">
        <color rgb="FF333399"/>
      </left>
      <right style="thick">
        <color rgb="FF333399"/>
      </right>
      <top/>
      <bottom/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3" fillId="5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1" applyNumberFormat="0" applyAlignment="0" applyProtection="0"/>
    <xf numFmtId="0" fontId="1" fillId="6" borderId="6" applyNumberFormat="0" applyFont="0" applyAlignment="0" applyProtection="0"/>
    <xf numFmtId="0" fontId="9" fillId="4" borderId="7" applyNumberFormat="0" applyAlignment="0" applyProtection="0"/>
    <xf numFmtId="0" fontId="1" fillId="0" borderId="0"/>
  </cellStyleXfs>
  <cellXfs count="118">
    <xf numFmtId="0" fontId="0" fillId="0" borderId="0" xfId="0"/>
    <xf numFmtId="0" fontId="10" fillId="7" borderId="0" xfId="0" applyFont="1" applyFill="1" applyBorder="1"/>
    <xf numFmtId="0" fontId="10" fillId="7" borderId="0" xfId="0" applyFont="1" applyFill="1"/>
    <xf numFmtId="164" fontId="12" fillId="7" borderId="0" xfId="0" applyNumberFormat="1" applyFont="1" applyFill="1" applyBorder="1" applyAlignment="1"/>
    <xf numFmtId="164" fontId="12" fillId="7" borderId="0" xfId="0" applyNumberFormat="1" applyFont="1" applyFill="1" applyAlignment="1"/>
    <xf numFmtId="0" fontId="13" fillId="7" borderId="0" xfId="0" applyFont="1" applyFill="1" applyAlignment="1"/>
    <xf numFmtId="0" fontId="13" fillId="7" borderId="0" xfId="0" applyFont="1" applyFill="1" applyAlignment="1">
      <alignment vertical="center"/>
    </xf>
    <xf numFmtId="0" fontId="13" fillId="7" borderId="0" xfId="0" applyFont="1" applyFill="1" applyBorder="1" applyAlignment="1">
      <alignment vertical="center"/>
    </xf>
    <xf numFmtId="0" fontId="11" fillId="7" borderId="0" xfId="0" applyFont="1" applyFill="1" applyAlignment="1">
      <alignment vertical="center"/>
    </xf>
    <xf numFmtId="164" fontId="11" fillId="7" borderId="0" xfId="0" applyNumberFormat="1" applyFont="1" applyFill="1" applyBorder="1" applyAlignment="1"/>
    <xf numFmtId="0" fontId="11" fillId="7" borderId="0" xfId="0" applyFont="1" applyFill="1" applyAlignment="1"/>
    <xf numFmtId="0" fontId="11" fillId="8" borderId="0" xfId="0" applyFont="1" applyFill="1" applyAlignment="1">
      <alignment vertical="center"/>
    </xf>
    <xf numFmtId="49" fontId="14" fillId="7" borderId="0" xfId="0" quotePrefix="1" applyNumberFormat="1" applyFont="1" applyFill="1" applyBorder="1" applyAlignment="1">
      <alignment horizontal="center" vertical="center" wrapText="1"/>
    </xf>
    <xf numFmtId="49" fontId="14" fillId="7" borderId="8" xfId="0" quotePrefix="1" applyNumberFormat="1" applyFont="1" applyFill="1" applyBorder="1" applyAlignment="1">
      <alignment horizontal="center" vertical="center" wrapText="1"/>
    </xf>
    <xf numFmtId="165" fontId="10" fillId="8" borderId="0" xfId="0" quotePrefix="1" applyNumberFormat="1" applyFont="1" applyFill="1" applyBorder="1" applyAlignment="1">
      <alignment horizontal="left" vertical="center" indent="1"/>
    </xf>
    <xf numFmtId="0" fontId="0" fillId="8" borderId="0" xfId="0" applyFill="1" applyAlignment="1">
      <alignment vertical="center"/>
    </xf>
    <xf numFmtId="165" fontId="16" fillId="8" borderId="0" xfId="0" applyNumberFormat="1" applyFont="1" applyFill="1" applyBorder="1" applyAlignment="1">
      <alignment vertical="center"/>
    </xf>
    <xf numFmtId="165" fontId="16" fillId="8" borderId="0" xfId="0" applyNumberFormat="1" applyFont="1" applyFill="1" applyAlignment="1">
      <alignment vertical="center"/>
    </xf>
    <xf numFmtId="0" fontId="16" fillId="8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49" fontId="15" fillId="0" borderId="0" xfId="0" quotePrefix="1" applyNumberFormat="1" applyFont="1" applyFill="1" applyAlignment="1">
      <alignment horizontal="right" vertical="center"/>
    </xf>
    <xf numFmtId="0" fontId="0" fillId="0" borderId="0" xfId="0" applyBorder="1"/>
    <xf numFmtId="164" fontId="18" fillId="0" borderId="0" xfId="0" applyNumberFormat="1" applyFont="1" applyBorder="1"/>
    <xf numFmtId="164" fontId="17" fillId="0" borderId="0" xfId="0" applyNumberFormat="1" applyFont="1" applyBorder="1"/>
    <xf numFmtId="164" fontId="17" fillId="0" borderId="0" xfId="0" applyNumberFormat="1" applyFont="1" applyBorder="1" applyAlignment="1">
      <alignment vertical="top"/>
    </xf>
    <xf numFmtId="164" fontId="11" fillId="0" borderId="0" xfId="0" applyNumberFormat="1" applyFont="1" applyFill="1" applyBorder="1"/>
    <xf numFmtId="164" fontId="13" fillId="0" borderId="0" xfId="0" applyNumberFormat="1" applyFont="1" applyFill="1" applyBorder="1"/>
    <xf numFmtId="3" fontId="11" fillId="0" borderId="0" xfId="0" applyNumberFormat="1" applyFont="1" applyFill="1" applyBorder="1"/>
    <xf numFmtId="3" fontId="13" fillId="0" borderId="0" xfId="0" applyNumberFormat="1" applyFont="1" applyFill="1" applyBorder="1"/>
    <xf numFmtId="166" fontId="11" fillId="7" borderId="9" xfId="0" applyNumberFormat="1" applyFont="1" applyFill="1" applyBorder="1" applyAlignment="1"/>
    <xf numFmtId="166" fontId="11" fillId="7" borderId="0" xfId="0" applyNumberFormat="1" applyFont="1" applyFill="1" applyBorder="1" applyAlignment="1"/>
    <xf numFmtId="166" fontId="13" fillId="0" borderId="0" xfId="0" applyNumberFormat="1" applyFont="1" applyBorder="1"/>
    <xf numFmtId="166" fontId="13" fillId="7" borderId="0" xfId="0" applyNumberFormat="1" applyFont="1" applyFill="1" applyBorder="1" applyAlignment="1"/>
    <xf numFmtId="166" fontId="13" fillId="7" borderId="0" xfId="0" applyNumberFormat="1" applyFont="1" applyFill="1" applyBorder="1" applyAlignment="1">
      <alignment vertical="center"/>
    </xf>
    <xf numFmtId="166" fontId="13" fillId="0" borderId="0" xfId="0" applyNumberFormat="1" applyFont="1" applyBorder="1" applyAlignment="1">
      <alignment horizontal="right"/>
    </xf>
    <xf numFmtId="166" fontId="13" fillId="0" borderId="0" xfId="0" quotePrefix="1" applyNumberFormat="1" applyFont="1" applyBorder="1" applyAlignment="1">
      <alignment horizontal="right"/>
    </xf>
    <xf numFmtId="0" fontId="10" fillId="7" borderId="0" xfId="0" quotePrefix="1" applyFont="1" applyFill="1" applyBorder="1"/>
    <xf numFmtId="166" fontId="13" fillId="0" borderId="0" xfId="0" quotePrefix="1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14" fillId="7" borderId="8" xfId="0" quotePrefix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 indent="1"/>
    </xf>
    <xf numFmtId="0" fontId="14" fillId="7" borderId="0" xfId="0" applyFont="1" applyFill="1" applyBorder="1" applyAlignment="1">
      <alignment horizontal="left" vertical="center" wrapText="1" indent="1"/>
    </xf>
    <xf numFmtId="165" fontId="13" fillId="8" borderId="0" xfId="0" quotePrefix="1" applyNumberFormat="1" applyFont="1" applyFill="1" applyBorder="1" applyAlignment="1">
      <alignment horizontal="left" vertical="center" indent="1"/>
    </xf>
    <xf numFmtId="0" fontId="11" fillId="7" borderId="0" xfId="0" applyFont="1" applyFill="1" applyAlignment="1">
      <alignment vertical="center" wrapText="1"/>
    </xf>
    <xf numFmtId="0" fontId="14" fillId="7" borderId="12" xfId="0" quotePrefix="1" applyFont="1" applyFill="1" applyBorder="1" applyAlignment="1">
      <alignment horizontal="left" vertical="center" wrapText="1" indent="1"/>
    </xf>
    <xf numFmtId="0" fontId="11" fillId="7" borderId="13" xfId="0" quotePrefix="1" applyFont="1" applyFill="1" applyBorder="1" applyAlignment="1">
      <alignment horizontal="left" indent="1"/>
    </xf>
    <xf numFmtId="0" fontId="11" fillId="7" borderId="14" xfId="0" quotePrefix="1" applyFont="1" applyFill="1" applyBorder="1" applyAlignment="1">
      <alignment horizontal="left" indent="2"/>
    </xf>
    <xf numFmtId="0" fontId="11" fillId="7" borderId="14" xfId="0" quotePrefix="1" applyFont="1" applyFill="1" applyBorder="1" applyAlignment="1">
      <alignment horizontal="left" indent="1"/>
    </xf>
    <xf numFmtId="0" fontId="14" fillId="7" borderId="14" xfId="0" quotePrefix="1" applyFont="1" applyFill="1" applyBorder="1" applyAlignment="1">
      <alignment horizontal="left" vertical="center" wrapText="1" indent="1"/>
    </xf>
    <xf numFmtId="0" fontId="14" fillId="7" borderId="12" xfId="0" quotePrefix="1" applyFont="1" applyFill="1" applyBorder="1" applyAlignment="1">
      <alignment horizontal="left" vertical="center" wrapText="1"/>
    </xf>
    <xf numFmtId="0" fontId="10" fillId="7" borderId="14" xfId="0" applyFont="1" applyFill="1" applyBorder="1" applyAlignment="1">
      <alignment vertical="center"/>
    </xf>
    <xf numFmtId="165" fontId="13" fillId="8" borderId="0" xfId="0" quotePrefix="1" applyNumberFormat="1" applyFont="1" applyFill="1" applyBorder="1" applyAlignment="1">
      <alignment horizontal="left" vertical="center" wrapText="1" indent="1"/>
    </xf>
    <xf numFmtId="0" fontId="13" fillId="7" borderId="14" xfId="0" quotePrefix="1" applyFont="1" applyFill="1" applyBorder="1" applyAlignment="1">
      <alignment horizontal="left" vertical="center" indent="2"/>
    </xf>
    <xf numFmtId="0" fontId="20" fillId="7" borderId="13" xfId="0" quotePrefix="1" applyFont="1" applyFill="1" applyBorder="1" applyAlignment="1">
      <alignment horizontal="left" vertical="center" indent="1"/>
    </xf>
    <xf numFmtId="166" fontId="20" fillId="7" borderId="9" xfId="0" applyNumberFormat="1" applyFont="1" applyFill="1" applyBorder="1" applyAlignment="1"/>
    <xf numFmtId="0" fontId="19" fillId="7" borderId="14" xfId="0" quotePrefix="1" applyFont="1" applyFill="1" applyBorder="1" applyAlignment="1">
      <alignment horizontal="left" vertical="center" indent="2"/>
    </xf>
    <xf numFmtId="166" fontId="19" fillId="7" borderId="0" xfId="0" applyNumberFormat="1" applyFont="1" applyFill="1" applyBorder="1" applyAlignment="1"/>
    <xf numFmtId="166" fontId="19" fillId="0" borderId="0" xfId="0" applyNumberFormat="1" applyFont="1" applyBorder="1"/>
    <xf numFmtId="166" fontId="19" fillId="7" borderId="0" xfId="0" applyNumberFormat="1" applyFont="1" applyFill="1" applyBorder="1" applyAlignment="1">
      <alignment vertical="center"/>
    </xf>
    <xf numFmtId="166" fontId="19" fillId="0" borderId="0" xfId="0" quotePrefix="1" applyNumberFormat="1" applyFont="1" applyBorder="1" applyAlignment="1">
      <alignment horizontal="right"/>
    </xf>
    <xf numFmtId="166" fontId="19" fillId="0" borderId="0" xfId="0" applyNumberFormat="1" applyFont="1" applyBorder="1" applyAlignment="1">
      <alignment horizontal="right"/>
    </xf>
    <xf numFmtId="0" fontId="20" fillId="7" borderId="14" xfId="0" quotePrefix="1" applyFont="1" applyFill="1" applyBorder="1" applyAlignment="1">
      <alignment horizontal="left" vertical="center" indent="1"/>
    </xf>
    <xf numFmtId="166" fontId="20" fillId="7" borderId="0" xfId="0" applyNumberFormat="1" applyFont="1" applyFill="1" applyBorder="1" applyAlignment="1"/>
    <xf numFmtId="166" fontId="20" fillId="0" borderId="8" xfId="0" applyNumberFormat="1" applyFont="1" applyBorder="1" applyAlignment="1">
      <alignment vertical="center"/>
    </xf>
    <xf numFmtId="0" fontId="13" fillId="7" borderId="14" xfId="0" quotePrefix="1" applyFont="1" applyFill="1" applyBorder="1" applyAlignment="1">
      <alignment horizontal="left" indent="2"/>
    </xf>
    <xf numFmtId="0" fontId="13" fillId="7" borderId="14" xfId="0" quotePrefix="1" applyFont="1" applyFill="1" applyBorder="1" applyAlignment="1">
      <alignment horizontal="left" wrapText="1" indent="2"/>
    </xf>
    <xf numFmtId="2" fontId="13" fillId="7" borderId="14" xfId="0" quotePrefix="1" applyNumberFormat="1" applyFont="1" applyFill="1" applyBorder="1" applyAlignment="1">
      <alignment horizontal="left" vertical="center" wrapText="1" indent="2"/>
    </xf>
    <xf numFmtId="0" fontId="20" fillId="8" borderId="10" xfId="0" quotePrefix="1" applyFont="1" applyFill="1" applyBorder="1" applyAlignment="1">
      <alignment horizontal="left" vertical="center" indent="1"/>
    </xf>
    <xf numFmtId="0" fontId="19" fillId="8" borderId="11" xfId="0" quotePrefix="1" applyFont="1" applyFill="1" applyBorder="1" applyAlignment="1">
      <alignment horizontal="left" vertical="center" indent="2"/>
    </xf>
    <xf numFmtId="166" fontId="19" fillId="7" borderId="0" xfId="0" quotePrefix="1" applyNumberFormat="1" applyFont="1" applyFill="1" applyBorder="1" applyAlignment="1">
      <alignment horizontal="right" vertical="center"/>
    </xf>
    <xf numFmtId="0" fontId="19" fillId="8" borderId="11" xfId="0" quotePrefix="1" applyFont="1" applyFill="1" applyBorder="1" applyAlignment="1">
      <alignment horizontal="left" vertical="center" wrapText="1" indent="2"/>
    </xf>
    <xf numFmtId="166" fontId="19" fillId="0" borderId="0" xfId="0" quotePrefix="1" applyNumberFormat="1" applyFont="1" applyBorder="1" applyAlignment="1">
      <alignment horizontal="right" vertical="center" wrapText="1"/>
    </xf>
    <xf numFmtId="166" fontId="19" fillId="0" borderId="0" xfId="0" applyNumberFormat="1" applyFont="1" applyBorder="1" applyAlignment="1">
      <alignment vertical="center" wrapText="1"/>
    </xf>
    <xf numFmtId="166" fontId="19" fillId="0" borderId="0" xfId="0" applyNumberFormat="1" applyFont="1" applyBorder="1" applyAlignment="1">
      <alignment horizontal="right" vertical="center" wrapText="1"/>
    </xf>
    <xf numFmtId="0" fontId="20" fillId="8" borderId="11" xfId="0" quotePrefix="1" applyFont="1" applyFill="1" applyBorder="1" applyAlignment="1">
      <alignment horizontal="left" vertical="center" indent="1"/>
    </xf>
    <xf numFmtId="166" fontId="19" fillId="0" borderId="0" xfId="0" quotePrefix="1" applyNumberFormat="1" applyFont="1" applyBorder="1" applyAlignment="1">
      <alignment horizontal="right" vertical="center"/>
    </xf>
    <xf numFmtId="166" fontId="19" fillId="0" borderId="0" xfId="0" applyNumberFormat="1" applyFont="1" applyBorder="1" applyAlignment="1">
      <alignment vertical="center"/>
    </xf>
    <xf numFmtId="0" fontId="20" fillId="7" borderId="13" xfId="0" quotePrefix="1" applyFont="1" applyFill="1" applyBorder="1" applyAlignment="1">
      <alignment horizontal="left" vertical="center" wrapText="1" indent="2"/>
    </xf>
    <xf numFmtId="166" fontId="20" fillId="7" borderId="9" xfId="0" quotePrefix="1" applyNumberFormat="1" applyFont="1" applyFill="1" applyBorder="1" applyAlignment="1">
      <alignment horizontal="right" vertical="center" wrapText="1"/>
    </xf>
    <xf numFmtId="0" fontId="20" fillId="8" borderId="13" xfId="0" quotePrefix="1" applyFont="1" applyFill="1" applyBorder="1" applyAlignment="1">
      <alignment horizontal="left" indent="1"/>
    </xf>
    <xf numFmtId="165" fontId="20" fillId="8" borderId="0" xfId="0" quotePrefix="1" applyNumberFormat="1" applyFont="1" applyFill="1" applyBorder="1" applyAlignment="1">
      <alignment horizontal="right"/>
    </xf>
    <xf numFmtId="0" fontId="22" fillId="8" borderId="14" xfId="0" quotePrefix="1" applyFont="1" applyFill="1" applyBorder="1" applyAlignment="1">
      <alignment horizontal="left" indent="2"/>
    </xf>
    <xf numFmtId="0" fontId="19" fillId="8" borderId="14" xfId="0" quotePrefix="1" applyFont="1" applyFill="1" applyBorder="1" applyAlignment="1">
      <alignment horizontal="left" indent="4"/>
    </xf>
    <xf numFmtId="165" fontId="19" fillId="8" borderId="0" xfId="0" quotePrefix="1" applyNumberFormat="1" applyFont="1" applyFill="1" applyBorder="1" applyAlignment="1">
      <alignment horizontal="right"/>
    </xf>
    <xf numFmtId="0" fontId="20" fillId="8" borderId="14" xfId="0" quotePrefix="1" applyFont="1" applyFill="1" applyBorder="1" applyAlignment="1">
      <alignment horizontal="left" indent="2"/>
    </xf>
    <xf numFmtId="0" fontId="19" fillId="8" borderId="14" xfId="0" quotePrefix="1" applyFont="1" applyFill="1" applyBorder="1" applyAlignment="1">
      <alignment horizontal="left" vertical="center" indent="4"/>
    </xf>
    <xf numFmtId="165" fontId="19" fillId="8" borderId="0" xfId="0" quotePrefix="1" applyNumberFormat="1" applyFont="1" applyFill="1" applyBorder="1" applyAlignment="1">
      <alignment horizontal="right" vertical="center"/>
    </xf>
    <xf numFmtId="0" fontId="19" fillId="7" borderId="14" xfId="0" quotePrefix="1" applyFont="1" applyFill="1" applyBorder="1" applyAlignment="1">
      <alignment horizontal="left" vertical="center" wrapText="1" indent="4"/>
    </xf>
    <xf numFmtId="165" fontId="19" fillId="7" borderId="0" xfId="0" quotePrefix="1" applyNumberFormat="1" applyFont="1" applyFill="1" applyBorder="1" applyAlignment="1">
      <alignment horizontal="right" vertical="center" wrapText="1"/>
    </xf>
    <xf numFmtId="0" fontId="22" fillId="7" borderId="14" xfId="0" quotePrefix="1" applyFont="1" applyFill="1" applyBorder="1" applyAlignment="1">
      <alignment horizontal="left" vertical="center" wrapText="1" indent="2"/>
    </xf>
    <xf numFmtId="165" fontId="20" fillId="7" borderId="0" xfId="0" quotePrefix="1" applyNumberFormat="1" applyFont="1" applyFill="1" applyBorder="1" applyAlignment="1">
      <alignment horizontal="right" vertical="center" wrapText="1"/>
    </xf>
    <xf numFmtId="0" fontId="20" fillId="7" borderId="13" xfId="0" quotePrefix="1" applyFont="1" applyFill="1" applyBorder="1" applyAlignment="1">
      <alignment horizontal="left" vertical="center" wrapText="1" indent="1"/>
    </xf>
    <xf numFmtId="165" fontId="20" fillId="7" borderId="9" xfId="0" quotePrefix="1" applyNumberFormat="1" applyFont="1" applyFill="1" applyBorder="1" applyAlignment="1">
      <alignment horizontal="right" vertical="center" wrapText="1"/>
    </xf>
    <xf numFmtId="0" fontId="21" fillId="0" borderId="0" xfId="0" applyFont="1"/>
    <xf numFmtId="0" fontId="21" fillId="0" borderId="14" xfId="0" applyFont="1" applyBorder="1"/>
    <xf numFmtId="0" fontId="20" fillId="7" borderId="14" xfId="0" quotePrefix="1" applyFont="1" applyFill="1" applyBorder="1" applyAlignment="1">
      <alignment horizontal="left" vertical="center" wrapText="1" indent="2"/>
    </xf>
    <xf numFmtId="0" fontId="20" fillId="7" borderId="12" xfId="0" quotePrefix="1" applyFont="1" applyFill="1" applyBorder="1" applyAlignment="1">
      <alignment horizontal="left" vertical="center" indent="2"/>
    </xf>
    <xf numFmtId="0" fontId="19" fillId="7" borderId="14" xfId="0" quotePrefix="1" applyFont="1" applyFill="1" applyBorder="1" applyAlignment="1">
      <alignment horizontal="left" vertical="center" wrapText="1" indent="3"/>
    </xf>
    <xf numFmtId="0" fontId="14" fillId="0" borderId="8" xfId="0" applyFont="1" applyBorder="1" applyAlignment="1">
      <alignment horizontal="center" vertical="center"/>
    </xf>
    <xf numFmtId="165" fontId="19" fillId="0" borderId="0" xfId="0" applyNumberFormat="1" applyFont="1" applyBorder="1" applyAlignment="1">
      <alignment vertical="center"/>
    </xf>
    <xf numFmtId="165" fontId="19" fillId="0" borderId="0" xfId="0" applyNumberFormat="1" applyFont="1" applyBorder="1" applyAlignment="1"/>
    <xf numFmtId="165" fontId="19" fillId="0" borderId="0" xfId="0" applyNumberFormat="1" applyFont="1" applyBorder="1"/>
    <xf numFmtId="4" fontId="20" fillId="0" borderId="0" xfId="0" quotePrefix="1" applyNumberFormat="1" applyFont="1" applyBorder="1" applyAlignment="1">
      <alignment horizontal="right"/>
    </xf>
    <xf numFmtId="165" fontId="20" fillId="7" borderId="0" xfId="0" applyNumberFormat="1" applyFont="1" applyFill="1" applyAlignment="1">
      <alignment vertical="center"/>
    </xf>
    <xf numFmtId="4" fontId="19" fillId="0" borderId="0" xfId="0" applyNumberFormat="1" applyFont="1"/>
    <xf numFmtId="165" fontId="19" fillId="0" borderId="0" xfId="0" applyNumberFormat="1" applyFont="1" applyFill="1" applyBorder="1"/>
    <xf numFmtId="165" fontId="19" fillId="0" borderId="0" xfId="0" applyNumberFormat="1" applyFont="1" applyFill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/>
    <xf numFmtId="166" fontId="20" fillId="0" borderId="0" xfId="0" applyNumberFormat="1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166" fontId="1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66" fontId="19" fillId="0" borderId="0" xfId="0" applyNumberFormat="1" applyFont="1" applyBorder="1" applyAlignment="1">
      <alignment vertical="center"/>
    </xf>
  </cellXfs>
  <cellStyles count="12">
    <cellStyle name="Bad" xfId="1" xr:uid="{00000000-0005-0000-0000-000000000000}"/>
    <cellStyle name="Check Cell" xfId="2" xr:uid="{00000000-0005-0000-0000-000001000000}"/>
    <cellStyle name="Explanatory Text" xfId="3" xr:uid="{00000000-0005-0000-0000-000002000000}"/>
    <cellStyle name="Heading 1" xfId="4" xr:uid="{00000000-0005-0000-0000-000003000000}"/>
    <cellStyle name="Heading 2" xfId="5" xr:uid="{00000000-0005-0000-0000-000004000000}"/>
    <cellStyle name="Heading 3" xfId="6" xr:uid="{00000000-0005-0000-0000-000005000000}"/>
    <cellStyle name="Heading 4" xfId="7" xr:uid="{00000000-0005-0000-0000-000006000000}"/>
    <cellStyle name="Input" xfId="8" xr:uid="{00000000-0005-0000-0000-000007000000}"/>
    <cellStyle name="Normal 2" xfId="11" xr:uid="{00000000-0005-0000-0000-000009000000}"/>
    <cellStyle name="Note" xfId="9" xr:uid="{00000000-0005-0000-0000-00000A000000}"/>
    <cellStyle name="Output" xfId="10" xr:uid="{00000000-0005-0000-0000-00000B000000}"/>
    <cellStyle name="Standaard" xfId="0" builtinId="0"/>
  </cellStyles>
  <dxfs count="0"/>
  <tableStyles count="0" defaultTableStyle="TableStyleMedium9" defaultPivotStyle="PivotStyleLight16"/>
  <colors>
    <mruColors>
      <color rgb="FF333399"/>
      <color rgb="FF666699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9">
    <pageSetUpPr autoPageBreaks="0"/>
  </sheetPr>
  <dimension ref="A1:V169"/>
  <sheetViews>
    <sheetView showGridLines="0" zoomScale="75" zoomScaleNormal="75" workbookViewId="0"/>
  </sheetViews>
  <sheetFormatPr defaultColWidth="11.42578125" defaultRowHeight="13.5" x14ac:dyDescent="0.25"/>
  <cols>
    <col min="1" max="1" width="65.7109375" style="1" customWidth="1"/>
    <col min="2" max="4" width="19.7109375" style="2" customWidth="1"/>
    <col min="5" max="6" width="19.7109375" style="1" customWidth="1"/>
    <col min="7" max="22" width="19.7109375" style="2" customWidth="1"/>
    <col min="23" max="16384" width="11.42578125" style="2"/>
  </cols>
  <sheetData>
    <row r="1" spans="1:22" ht="23.25" customHeight="1" x14ac:dyDescent="0.25">
      <c r="A1" s="43" t="s">
        <v>80</v>
      </c>
    </row>
    <row r="2" spans="1:22" s="18" customFormat="1" ht="16.5" x14ac:dyDescent="0.2">
      <c r="A2" s="44" t="s">
        <v>0</v>
      </c>
      <c r="B2" s="15"/>
      <c r="C2" s="16"/>
      <c r="D2" s="16"/>
      <c r="E2" s="16"/>
      <c r="F2" s="16"/>
      <c r="G2" s="16"/>
      <c r="H2" s="16"/>
      <c r="I2" s="16"/>
      <c r="J2" s="16"/>
      <c r="K2" s="17"/>
      <c r="L2" s="17"/>
    </row>
    <row r="3" spans="1:22" s="18" customFormat="1" ht="16.5" x14ac:dyDescent="0.2">
      <c r="A3" s="44" t="s">
        <v>101</v>
      </c>
      <c r="B3" s="15"/>
      <c r="C3" s="16"/>
      <c r="D3" s="16"/>
      <c r="E3" s="16"/>
      <c r="F3" s="16"/>
      <c r="G3" s="16"/>
      <c r="H3" s="16"/>
      <c r="I3" s="16"/>
      <c r="J3" s="16"/>
      <c r="K3" s="17"/>
      <c r="L3" s="17"/>
    </row>
    <row r="4" spans="1:22" s="18" customFormat="1" ht="16.5" x14ac:dyDescent="0.2">
      <c r="A4" s="44" t="s">
        <v>102</v>
      </c>
      <c r="B4" s="15"/>
      <c r="C4" s="16"/>
      <c r="D4" s="16"/>
      <c r="E4" s="16"/>
      <c r="F4" s="16"/>
      <c r="G4" s="16"/>
      <c r="H4" s="16"/>
      <c r="I4" s="16"/>
      <c r="J4" s="16"/>
      <c r="K4" s="17"/>
      <c r="L4" s="17"/>
    </row>
    <row r="5" spans="1:22" s="18" customFormat="1" ht="16.5" x14ac:dyDescent="0.2">
      <c r="A5" s="44" t="s">
        <v>69</v>
      </c>
      <c r="B5" s="15"/>
      <c r="C5" s="16"/>
      <c r="D5" s="16"/>
      <c r="E5" s="16"/>
      <c r="F5" s="16"/>
      <c r="G5" s="16"/>
      <c r="H5" s="16"/>
      <c r="I5" s="16"/>
      <c r="J5" s="16"/>
      <c r="K5" s="17"/>
      <c r="L5" s="17"/>
    </row>
    <row r="6" spans="1:22" s="18" customFormat="1" ht="16.5" x14ac:dyDescent="0.2">
      <c r="A6" s="44" t="s">
        <v>103</v>
      </c>
      <c r="B6" s="15"/>
      <c r="C6" s="16"/>
      <c r="D6" s="16"/>
      <c r="E6" s="16"/>
      <c r="F6" s="16"/>
      <c r="G6" s="16"/>
      <c r="H6" s="16"/>
      <c r="I6" s="16"/>
      <c r="J6" s="16"/>
      <c r="K6" s="17"/>
      <c r="L6" s="17"/>
    </row>
    <row r="7" spans="1:22" s="18" customFormat="1" ht="16.5" x14ac:dyDescent="0.2">
      <c r="A7" s="44" t="s">
        <v>68</v>
      </c>
      <c r="B7" s="15"/>
      <c r="C7" s="16"/>
      <c r="D7" s="16"/>
      <c r="E7" s="16"/>
      <c r="F7" s="16"/>
      <c r="G7" s="16"/>
      <c r="H7" s="16"/>
      <c r="I7" s="16"/>
      <c r="J7" s="16"/>
      <c r="K7" s="17"/>
      <c r="L7" s="17"/>
    </row>
    <row r="8" spans="1:22" s="18" customFormat="1" ht="16.5" x14ac:dyDescent="0.2">
      <c r="A8" s="53" t="s">
        <v>70</v>
      </c>
      <c r="B8" s="15"/>
      <c r="C8" s="16"/>
      <c r="D8" s="16"/>
      <c r="E8" s="16"/>
      <c r="F8" s="16"/>
      <c r="G8" s="16"/>
      <c r="H8" s="16"/>
      <c r="I8" s="16"/>
      <c r="J8" s="16"/>
      <c r="K8" s="17"/>
      <c r="L8" s="17"/>
    </row>
    <row r="9" spans="1:22" ht="24.95" customHeight="1" x14ac:dyDescent="0.25">
      <c r="B9" s="11"/>
      <c r="C9" s="19"/>
      <c r="D9" s="20"/>
    </row>
    <row r="10" spans="1:22" ht="18.75" thickBot="1" x14ac:dyDescent="0.3">
      <c r="A10" s="46"/>
      <c r="B10" s="13" t="s">
        <v>19</v>
      </c>
      <c r="C10" s="13" t="s">
        <v>20</v>
      </c>
      <c r="D10" s="13" t="s">
        <v>21</v>
      </c>
      <c r="E10" s="13" t="s">
        <v>1</v>
      </c>
      <c r="F10" s="13" t="s">
        <v>22</v>
      </c>
      <c r="G10" s="13" t="s">
        <v>23</v>
      </c>
      <c r="H10" s="13" t="s">
        <v>24</v>
      </c>
      <c r="I10" s="13" t="s">
        <v>25</v>
      </c>
      <c r="J10" s="13" t="s">
        <v>28</v>
      </c>
      <c r="K10" s="13" t="s">
        <v>29</v>
      </c>
      <c r="L10" s="13" t="s">
        <v>30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s="10" customFormat="1" ht="24.95" customHeight="1" x14ac:dyDescent="0.2">
      <c r="A11" s="55" t="s">
        <v>71</v>
      </c>
      <c r="B11" s="56">
        <f>SUM(B12:B21)</f>
        <v>1002.5</v>
      </c>
      <c r="C11" s="56">
        <f t="shared" ref="C11:I11" si="0">SUM(C12:C21)</f>
        <v>1118.7</v>
      </c>
      <c r="D11" s="56">
        <f t="shared" si="0"/>
        <v>1217.3000000000002</v>
      </c>
      <c r="E11" s="56">
        <f t="shared" si="0"/>
        <v>1357</v>
      </c>
      <c r="F11" s="56">
        <f t="shared" si="0"/>
        <v>1526.2000000000003</v>
      </c>
      <c r="G11" s="56">
        <f t="shared" si="0"/>
        <v>1720</v>
      </c>
      <c r="H11" s="56">
        <f t="shared" si="0"/>
        <v>1903.6</v>
      </c>
      <c r="I11" s="56">
        <f t="shared" si="0"/>
        <v>2070.6</v>
      </c>
      <c r="J11" s="56">
        <f t="shared" ref="J11" si="1">SUM(J12:J21)</f>
        <v>2223.0000000000005</v>
      </c>
      <c r="K11" s="56">
        <f t="shared" ref="K11" si="2">SUM(K12:K21)</f>
        <v>2387.3999999999996</v>
      </c>
      <c r="L11" s="56">
        <f t="shared" ref="L11" si="3">SUM(L12:L21)</f>
        <v>2661.0999999999995</v>
      </c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s="10" customFormat="1" ht="24.95" customHeight="1" x14ac:dyDescent="0.3">
      <c r="A12" s="57" t="s">
        <v>92</v>
      </c>
      <c r="B12" s="58">
        <v>218.7</v>
      </c>
      <c r="C12" s="58">
        <v>250.6</v>
      </c>
      <c r="D12" s="58">
        <v>283.8</v>
      </c>
      <c r="E12" s="58">
        <v>323.3</v>
      </c>
      <c r="F12" s="58">
        <v>376.3</v>
      </c>
      <c r="G12" s="58">
        <v>429.1</v>
      </c>
      <c r="H12" s="58">
        <v>478.6</v>
      </c>
      <c r="I12" s="58">
        <v>527.9</v>
      </c>
      <c r="J12" s="58">
        <v>579.1</v>
      </c>
      <c r="K12" s="58">
        <v>637.20000000000005</v>
      </c>
      <c r="L12" s="58">
        <v>695.1</v>
      </c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s="10" customFormat="1" ht="24.95" customHeight="1" x14ac:dyDescent="0.3">
      <c r="A13" s="57" t="s">
        <v>91</v>
      </c>
      <c r="B13" s="59">
        <v>275.10000000000002</v>
      </c>
      <c r="C13" s="59">
        <v>305.2</v>
      </c>
      <c r="D13" s="59">
        <v>337.2</v>
      </c>
      <c r="E13" s="59">
        <v>368.4</v>
      </c>
      <c r="F13" s="59">
        <v>410.1</v>
      </c>
      <c r="G13" s="59">
        <v>458.9</v>
      </c>
      <c r="H13" s="59">
        <v>507</v>
      </c>
      <c r="I13" s="59">
        <v>545.79999999999995</v>
      </c>
      <c r="J13" s="59">
        <v>580.79999999999995</v>
      </c>
      <c r="K13" s="59">
        <v>617.4</v>
      </c>
      <c r="L13" s="59">
        <v>651.6</v>
      </c>
      <c r="M13" s="26"/>
      <c r="N13" s="26"/>
      <c r="O13" s="26"/>
      <c r="P13" s="26"/>
      <c r="Q13" s="26"/>
      <c r="R13" s="26"/>
      <c r="S13" s="26"/>
      <c r="T13" s="26"/>
      <c r="U13" s="28"/>
      <c r="V13" s="28"/>
    </row>
    <row r="14" spans="1:22" s="10" customFormat="1" ht="24.95" customHeight="1" x14ac:dyDescent="0.3">
      <c r="A14" s="57" t="s">
        <v>90</v>
      </c>
      <c r="B14" s="59">
        <v>7.7</v>
      </c>
      <c r="C14" s="59">
        <v>8.3000000000000007</v>
      </c>
      <c r="D14" s="59">
        <v>9.1999999999999993</v>
      </c>
      <c r="E14" s="59">
        <v>9.8000000000000007</v>
      </c>
      <c r="F14" s="59">
        <v>10.7</v>
      </c>
      <c r="G14" s="59">
        <v>12.4</v>
      </c>
      <c r="H14" s="59">
        <v>13.4</v>
      </c>
      <c r="I14" s="59">
        <v>14.4</v>
      </c>
      <c r="J14" s="59">
        <v>14.9</v>
      </c>
      <c r="K14" s="59">
        <v>15.7</v>
      </c>
      <c r="L14" s="59">
        <v>16.3</v>
      </c>
      <c r="M14" s="26"/>
      <c r="N14" s="26"/>
      <c r="O14" s="26"/>
      <c r="P14" s="26"/>
      <c r="Q14" s="26"/>
      <c r="R14" s="26"/>
      <c r="S14" s="26"/>
      <c r="T14" s="26"/>
      <c r="U14" s="28"/>
      <c r="V14" s="28"/>
    </row>
    <row r="15" spans="1:22" s="10" customFormat="1" ht="24.95" customHeight="1" x14ac:dyDescent="0.3">
      <c r="A15" s="57" t="s">
        <v>89</v>
      </c>
      <c r="B15" s="59">
        <v>32.6</v>
      </c>
      <c r="C15" s="59">
        <v>36.200000000000003</v>
      </c>
      <c r="D15" s="59">
        <v>39.6</v>
      </c>
      <c r="E15" s="59">
        <v>45.2</v>
      </c>
      <c r="F15" s="59">
        <v>53.2</v>
      </c>
      <c r="G15" s="59">
        <v>58.5</v>
      </c>
      <c r="H15" s="59">
        <v>65.3</v>
      </c>
      <c r="I15" s="59">
        <v>71.7</v>
      </c>
      <c r="J15" s="59">
        <v>77.8</v>
      </c>
      <c r="K15" s="59">
        <v>85.6</v>
      </c>
      <c r="L15" s="59">
        <v>93.3</v>
      </c>
      <c r="M15" s="26"/>
      <c r="N15" s="26"/>
      <c r="O15" s="26"/>
      <c r="P15" s="26"/>
      <c r="Q15" s="26"/>
      <c r="R15" s="26"/>
      <c r="S15" s="26"/>
      <c r="T15" s="26"/>
      <c r="U15" s="28"/>
      <c r="V15" s="28"/>
    </row>
    <row r="16" spans="1:22" s="10" customFormat="1" ht="24.95" customHeight="1" x14ac:dyDescent="0.3">
      <c r="A16" s="57" t="s">
        <v>88</v>
      </c>
      <c r="B16" s="59">
        <v>8.1999999999999993</v>
      </c>
      <c r="C16" s="59">
        <v>10.6</v>
      </c>
      <c r="D16" s="59">
        <v>13.2</v>
      </c>
      <c r="E16" s="59">
        <v>16.5</v>
      </c>
      <c r="F16" s="59">
        <v>20.8</v>
      </c>
      <c r="G16" s="59">
        <v>27.8</v>
      </c>
      <c r="H16" s="59">
        <v>32.5</v>
      </c>
      <c r="I16" s="59">
        <v>38.6</v>
      </c>
      <c r="J16" s="59">
        <v>44.6</v>
      </c>
      <c r="K16" s="59">
        <v>51.1</v>
      </c>
      <c r="L16" s="59">
        <v>58.1</v>
      </c>
      <c r="M16" s="26"/>
      <c r="N16" s="26"/>
      <c r="O16" s="26"/>
      <c r="P16" s="26"/>
      <c r="Q16" s="26"/>
      <c r="R16" s="26"/>
      <c r="S16" s="26"/>
      <c r="T16" s="26"/>
      <c r="U16" s="28"/>
      <c r="V16" s="28"/>
    </row>
    <row r="17" spans="1:22" s="10" customFormat="1" ht="24.95" customHeight="1" x14ac:dyDescent="0.2">
      <c r="A17" s="57" t="s">
        <v>87</v>
      </c>
      <c r="B17" s="60">
        <v>220.1</v>
      </c>
      <c r="C17" s="60">
        <v>244.9</v>
      </c>
      <c r="D17" s="60">
        <v>259.2</v>
      </c>
      <c r="E17" s="60">
        <v>296.60000000000002</v>
      </c>
      <c r="F17" s="60">
        <v>330.7</v>
      </c>
      <c r="G17" s="60">
        <v>377.1</v>
      </c>
      <c r="H17" s="60">
        <v>418.4</v>
      </c>
      <c r="I17" s="60">
        <v>453.4</v>
      </c>
      <c r="J17" s="60">
        <v>485.3</v>
      </c>
      <c r="K17" s="60">
        <v>517.5</v>
      </c>
      <c r="L17" s="60">
        <v>547</v>
      </c>
      <c r="M17" s="25"/>
      <c r="N17" s="25"/>
      <c r="O17" s="25"/>
      <c r="P17" s="25"/>
      <c r="Q17" s="25"/>
      <c r="R17" s="25"/>
      <c r="S17" s="25"/>
      <c r="T17" s="25"/>
      <c r="U17" s="25"/>
      <c r="V17" s="27"/>
    </row>
    <row r="18" spans="1:22" s="10" customFormat="1" ht="24.95" customHeight="1" x14ac:dyDescent="0.3">
      <c r="A18" s="57" t="s">
        <v>86</v>
      </c>
      <c r="B18" s="59">
        <v>32.9</v>
      </c>
      <c r="C18" s="59">
        <v>35.6</v>
      </c>
      <c r="D18" s="59">
        <v>37.200000000000003</v>
      </c>
      <c r="E18" s="59">
        <v>38.1</v>
      </c>
      <c r="F18" s="59">
        <v>40.4</v>
      </c>
      <c r="G18" s="59">
        <v>42.9</v>
      </c>
      <c r="H18" s="59">
        <v>44.8</v>
      </c>
      <c r="I18" s="59">
        <v>46.7</v>
      </c>
      <c r="J18" s="59">
        <v>47.4</v>
      </c>
      <c r="K18" s="59">
        <v>48.1</v>
      </c>
      <c r="L18" s="59">
        <v>48.5</v>
      </c>
      <c r="M18" s="26"/>
      <c r="N18" s="26"/>
      <c r="O18" s="26"/>
      <c r="P18" s="26"/>
      <c r="Q18" s="26"/>
      <c r="R18" s="26"/>
      <c r="S18" s="26"/>
      <c r="T18" s="26"/>
      <c r="U18" s="28"/>
      <c r="V18" s="28"/>
    </row>
    <row r="19" spans="1:22" s="10" customFormat="1" ht="24.95" customHeight="1" x14ac:dyDescent="0.3">
      <c r="A19" s="57" t="s">
        <v>85</v>
      </c>
      <c r="B19" s="61" t="s">
        <v>26</v>
      </c>
      <c r="C19" s="61" t="s">
        <v>26</v>
      </c>
      <c r="D19" s="61" t="s">
        <v>26</v>
      </c>
      <c r="E19" s="61" t="s">
        <v>26</v>
      </c>
      <c r="F19" s="61" t="s">
        <v>26</v>
      </c>
      <c r="G19" s="61" t="s">
        <v>26</v>
      </c>
      <c r="H19" s="61" t="s">
        <v>26</v>
      </c>
      <c r="I19" s="61" t="s">
        <v>26</v>
      </c>
      <c r="J19" s="61" t="s">
        <v>26</v>
      </c>
      <c r="K19" s="61" t="s">
        <v>26</v>
      </c>
      <c r="L19" s="61">
        <v>118.2</v>
      </c>
      <c r="M19" s="26"/>
      <c r="N19" s="26"/>
      <c r="O19" s="26"/>
      <c r="P19" s="26"/>
      <c r="Q19" s="26"/>
      <c r="R19" s="26"/>
      <c r="S19" s="26"/>
      <c r="T19" s="26"/>
      <c r="U19" s="28"/>
      <c r="V19" s="28"/>
    </row>
    <row r="20" spans="1:22" s="10" customFormat="1" ht="24.95" customHeight="1" x14ac:dyDescent="0.3">
      <c r="A20" s="57" t="s">
        <v>84</v>
      </c>
      <c r="B20" s="59">
        <v>207.2</v>
      </c>
      <c r="C20" s="59">
        <v>226.4</v>
      </c>
      <c r="D20" s="59">
        <v>236.9</v>
      </c>
      <c r="E20" s="59">
        <v>257.8</v>
      </c>
      <c r="F20" s="59">
        <v>282</v>
      </c>
      <c r="G20" s="59">
        <v>310.8</v>
      </c>
      <c r="H20" s="59">
        <v>340.6</v>
      </c>
      <c r="I20" s="59">
        <v>368.5</v>
      </c>
      <c r="J20" s="59">
        <v>388.8</v>
      </c>
      <c r="K20" s="59">
        <v>409.8</v>
      </c>
      <c r="L20" s="59">
        <v>427.3</v>
      </c>
      <c r="M20" s="26"/>
      <c r="N20" s="26"/>
      <c r="O20" s="26"/>
      <c r="P20" s="26"/>
      <c r="Q20" s="26"/>
      <c r="R20" s="26"/>
      <c r="S20" s="26"/>
      <c r="T20" s="26"/>
      <c r="U20" s="28"/>
      <c r="V20" s="28"/>
    </row>
    <row r="21" spans="1:22" s="10" customFormat="1" ht="24.95" customHeight="1" x14ac:dyDescent="0.3">
      <c r="A21" s="57" t="s">
        <v>83</v>
      </c>
      <c r="B21" s="61" t="s">
        <v>26</v>
      </c>
      <c r="C21" s="59">
        <v>0.9</v>
      </c>
      <c r="D21" s="59">
        <v>1</v>
      </c>
      <c r="E21" s="59">
        <v>1.3</v>
      </c>
      <c r="F21" s="62">
        <v>2</v>
      </c>
      <c r="G21" s="59">
        <v>2.5</v>
      </c>
      <c r="H21" s="59">
        <v>3</v>
      </c>
      <c r="I21" s="59">
        <v>3.6</v>
      </c>
      <c r="J21" s="59">
        <v>4.3</v>
      </c>
      <c r="K21" s="59">
        <v>5</v>
      </c>
      <c r="L21" s="59">
        <v>5.7</v>
      </c>
      <c r="M21" s="26"/>
      <c r="N21" s="26"/>
      <c r="O21" s="26"/>
      <c r="P21" s="26"/>
      <c r="Q21" s="26"/>
      <c r="R21" s="26"/>
      <c r="S21" s="26"/>
      <c r="T21" s="26"/>
      <c r="U21" s="28"/>
      <c r="V21" s="28"/>
    </row>
    <row r="22" spans="1:22" s="10" customFormat="1" ht="24.95" customHeight="1" x14ac:dyDescent="0.2">
      <c r="A22" s="63" t="s">
        <v>72</v>
      </c>
      <c r="B22" s="64">
        <f t="shared" ref="B22:L22" si="4">SUM(B23,B27,B28,B29,B30,B31,B32)</f>
        <v>381.4</v>
      </c>
      <c r="C22" s="64">
        <f t="shared" si="4"/>
        <v>416.7</v>
      </c>
      <c r="D22" s="64">
        <f t="shared" si="4"/>
        <v>443.00000000000006</v>
      </c>
      <c r="E22" s="64">
        <f t="shared" si="4"/>
        <v>476.8</v>
      </c>
      <c r="F22" s="64">
        <f t="shared" si="4"/>
        <v>517.19999999999993</v>
      </c>
      <c r="G22" s="64">
        <f t="shared" si="4"/>
        <v>563.59999999999991</v>
      </c>
      <c r="H22" s="64">
        <f t="shared" si="4"/>
        <v>606.59999999999991</v>
      </c>
      <c r="I22" s="64">
        <f t="shared" si="4"/>
        <v>637.6</v>
      </c>
      <c r="J22" s="64">
        <f t="shared" si="4"/>
        <v>654.90000000000009</v>
      </c>
      <c r="K22" s="64">
        <f t="shared" si="4"/>
        <v>671.8</v>
      </c>
      <c r="L22" s="64">
        <f t="shared" si="4"/>
        <v>734.7</v>
      </c>
      <c r="M22" s="25"/>
      <c r="N22" s="25"/>
      <c r="O22" s="25"/>
      <c r="P22" s="25"/>
      <c r="Q22" s="25"/>
      <c r="R22" s="25"/>
      <c r="S22" s="25"/>
      <c r="T22" s="25"/>
      <c r="U22" s="25"/>
      <c r="V22" s="27"/>
    </row>
    <row r="23" spans="1:22" s="10" customFormat="1" ht="24.95" customHeight="1" x14ac:dyDescent="0.3">
      <c r="A23" s="57" t="s">
        <v>92</v>
      </c>
      <c r="B23" s="112">
        <v>160</v>
      </c>
      <c r="C23" s="112">
        <v>175.7</v>
      </c>
      <c r="D23" s="112">
        <v>189.7</v>
      </c>
      <c r="E23" s="112">
        <v>202.8</v>
      </c>
      <c r="F23" s="109">
        <v>222.5</v>
      </c>
      <c r="G23" s="109">
        <v>246.4</v>
      </c>
      <c r="H23" s="109">
        <v>267.39999999999998</v>
      </c>
      <c r="I23" s="109">
        <v>281.5</v>
      </c>
      <c r="J23" s="112">
        <v>454</v>
      </c>
      <c r="K23" s="109">
        <v>468.7</v>
      </c>
      <c r="L23" s="109">
        <v>484.1</v>
      </c>
      <c r="M23" s="26"/>
      <c r="N23" s="26"/>
      <c r="O23" s="26"/>
      <c r="P23" s="26"/>
      <c r="Q23" s="26"/>
      <c r="R23" s="26"/>
      <c r="S23" s="26"/>
      <c r="T23" s="26"/>
      <c r="U23" s="28"/>
      <c r="V23" s="28"/>
    </row>
    <row r="24" spans="1:22" s="10" customFormat="1" ht="24.95" customHeight="1" x14ac:dyDescent="0.3">
      <c r="A24" s="57" t="s">
        <v>91</v>
      </c>
      <c r="B24" s="113"/>
      <c r="C24" s="113"/>
      <c r="D24" s="113"/>
      <c r="E24" s="113"/>
      <c r="F24" s="110"/>
      <c r="G24" s="110"/>
      <c r="H24" s="110"/>
      <c r="I24" s="110"/>
      <c r="J24" s="113"/>
      <c r="K24" s="110"/>
      <c r="L24" s="110"/>
      <c r="M24" s="26"/>
      <c r="N24" s="26"/>
      <c r="O24" s="26"/>
      <c r="P24" s="26"/>
      <c r="Q24" s="26"/>
      <c r="R24" s="26"/>
      <c r="S24" s="26"/>
      <c r="T24" s="26"/>
      <c r="U24" s="28"/>
      <c r="V24" s="28"/>
    </row>
    <row r="25" spans="1:22" s="10" customFormat="1" ht="24.95" customHeight="1" x14ac:dyDescent="0.3">
      <c r="A25" s="57" t="s">
        <v>90</v>
      </c>
      <c r="B25" s="113"/>
      <c r="C25" s="113"/>
      <c r="D25" s="113"/>
      <c r="E25" s="113"/>
      <c r="F25" s="110"/>
      <c r="G25" s="110"/>
      <c r="H25" s="110"/>
      <c r="I25" s="110"/>
      <c r="J25" s="113"/>
      <c r="K25" s="110"/>
      <c r="L25" s="110"/>
      <c r="M25" s="26"/>
      <c r="N25" s="26"/>
      <c r="O25" s="26"/>
      <c r="P25" s="26"/>
      <c r="Q25" s="26"/>
      <c r="R25" s="26"/>
      <c r="S25" s="26"/>
      <c r="T25" s="26"/>
      <c r="U25" s="28"/>
      <c r="V25" s="28"/>
    </row>
    <row r="26" spans="1:22" s="10" customFormat="1" ht="24.95" customHeight="1" x14ac:dyDescent="0.3">
      <c r="A26" s="57" t="s">
        <v>89</v>
      </c>
      <c r="B26" s="113"/>
      <c r="C26" s="113"/>
      <c r="D26" s="113"/>
      <c r="E26" s="113"/>
      <c r="F26" s="110"/>
      <c r="G26" s="110"/>
      <c r="H26" s="110"/>
      <c r="I26" s="110"/>
      <c r="J26" s="113"/>
      <c r="K26" s="110"/>
      <c r="L26" s="110"/>
      <c r="M26" s="26"/>
      <c r="N26" s="26"/>
      <c r="O26" s="26"/>
      <c r="P26" s="26"/>
      <c r="Q26" s="26"/>
      <c r="R26" s="26"/>
      <c r="S26" s="26"/>
      <c r="T26" s="26"/>
      <c r="U26" s="28"/>
      <c r="V26" s="28"/>
    </row>
    <row r="27" spans="1:22" s="8" customFormat="1" ht="24.95" customHeight="1" x14ac:dyDescent="0.3">
      <c r="A27" s="57" t="s">
        <v>88</v>
      </c>
      <c r="B27" s="60">
        <v>3.8</v>
      </c>
      <c r="C27" s="60">
        <v>4.4000000000000004</v>
      </c>
      <c r="D27" s="60">
        <v>5.3</v>
      </c>
      <c r="E27" s="60">
        <v>6.1</v>
      </c>
      <c r="F27" s="60">
        <v>7.2</v>
      </c>
      <c r="G27" s="60">
        <v>8.1999999999999993</v>
      </c>
      <c r="H27" s="60">
        <v>9.1999999999999993</v>
      </c>
      <c r="I27" s="60">
        <v>10.199999999999999</v>
      </c>
      <c r="J27" s="110"/>
      <c r="K27" s="110"/>
      <c r="L27" s="110"/>
      <c r="M27" s="26"/>
      <c r="N27" s="26"/>
      <c r="O27" s="26"/>
      <c r="P27" s="26"/>
      <c r="Q27" s="26"/>
      <c r="R27" s="26"/>
      <c r="S27" s="26"/>
      <c r="T27" s="26"/>
      <c r="U27" s="28"/>
      <c r="V27" s="28"/>
    </row>
    <row r="28" spans="1:22" s="7" customFormat="1" ht="24.95" customHeight="1" x14ac:dyDescent="0.3">
      <c r="A28" s="57" t="s">
        <v>87</v>
      </c>
      <c r="B28" s="58">
        <v>80.099999999999994</v>
      </c>
      <c r="C28" s="58">
        <v>88.3</v>
      </c>
      <c r="D28" s="58">
        <v>93.8</v>
      </c>
      <c r="E28" s="58">
        <v>104.7</v>
      </c>
      <c r="F28" s="58">
        <v>116.1</v>
      </c>
      <c r="G28" s="58">
        <v>127.5</v>
      </c>
      <c r="H28" s="58">
        <v>138.1</v>
      </c>
      <c r="I28" s="58">
        <v>146.80000000000001</v>
      </c>
      <c r="J28" s="111"/>
      <c r="K28" s="111"/>
      <c r="L28" s="111"/>
      <c r="M28" s="25"/>
      <c r="N28" s="25"/>
      <c r="O28" s="25"/>
      <c r="P28" s="25"/>
      <c r="Q28" s="25"/>
      <c r="R28" s="25"/>
      <c r="S28" s="25"/>
      <c r="T28" s="25"/>
      <c r="U28" s="25"/>
      <c r="V28" s="27"/>
    </row>
    <row r="29" spans="1:22" s="10" customFormat="1" ht="24.95" customHeight="1" x14ac:dyDescent="0.3">
      <c r="A29" s="57" t="s">
        <v>86</v>
      </c>
      <c r="B29" s="59">
        <v>10.7</v>
      </c>
      <c r="C29" s="59">
        <v>11.8</v>
      </c>
      <c r="D29" s="59">
        <v>12.6</v>
      </c>
      <c r="E29" s="59">
        <v>13.4</v>
      </c>
      <c r="F29" s="59">
        <v>14.3</v>
      </c>
      <c r="G29" s="59">
        <v>15.7</v>
      </c>
      <c r="H29" s="59">
        <v>16.899999999999999</v>
      </c>
      <c r="I29" s="59">
        <v>17.600000000000001</v>
      </c>
      <c r="J29" s="59">
        <v>18.2</v>
      </c>
      <c r="K29" s="59">
        <v>18.600000000000001</v>
      </c>
      <c r="L29" s="59">
        <v>19</v>
      </c>
      <c r="M29" s="26"/>
      <c r="N29" s="26"/>
      <c r="O29" s="26"/>
      <c r="P29" s="26"/>
      <c r="Q29" s="26"/>
      <c r="R29" s="26"/>
      <c r="S29" s="26"/>
      <c r="T29" s="26"/>
      <c r="U29" s="28"/>
      <c r="V29" s="28"/>
    </row>
    <row r="30" spans="1:22" s="5" customFormat="1" ht="24.95" customHeight="1" x14ac:dyDescent="0.3">
      <c r="A30" s="57" t="s">
        <v>85</v>
      </c>
      <c r="B30" s="61" t="s">
        <v>26</v>
      </c>
      <c r="C30" s="61" t="s">
        <v>26</v>
      </c>
      <c r="D30" s="61" t="s">
        <v>26</v>
      </c>
      <c r="E30" s="61" t="s">
        <v>26</v>
      </c>
      <c r="F30" s="61" t="s">
        <v>26</v>
      </c>
      <c r="G30" s="61" t="s">
        <v>26</v>
      </c>
      <c r="H30" s="61" t="s">
        <v>26</v>
      </c>
      <c r="I30" s="61" t="s">
        <v>26</v>
      </c>
      <c r="J30" s="61" t="s">
        <v>26</v>
      </c>
      <c r="K30" s="61" t="s">
        <v>26</v>
      </c>
      <c r="L30" s="61">
        <v>47.7</v>
      </c>
      <c r="M30" s="26"/>
      <c r="N30" s="26"/>
      <c r="O30" s="26"/>
      <c r="P30" s="26"/>
      <c r="Q30" s="26"/>
      <c r="R30" s="26"/>
      <c r="S30" s="26"/>
      <c r="T30" s="26"/>
      <c r="U30" s="28"/>
      <c r="V30" s="28"/>
    </row>
    <row r="31" spans="1:22" s="5" customFormat="1" ht="24.95" customHeight="1" x14ac:dyDescent="0.3">
      <c r="A31" s="57" t="s">
        <v>84</v>
      </c>
      <c r="B31" s="59">
        <v>126.8</v>
      </c>
      <c r="C31" s="59">
        <v>136</v>
      </c>
      <c r="D31" s="59">
        <v>141</v>
      </c>
      <c r="E31" s="59">
        <v>149.19999999999999</v>
      </c>
      <c r="F31" s="59">
        <v>156.30000000000001</v>
      </c>
      <c r="G31" s="59">
        <v>165</v>
      </c>
      <c r="H31" s="59">
        <v>174</v>
      </c>
      <c r="I31" s="59">
        <v>180.4</v>
      </c>
      <c r="J31" s="59">
        <v>181.5</v>
      </c>
      <c r="K31" s="59">
        <v>183.2</v>
      </c>
      <c r="L31" s="59">
        <v>182.5</v>
      </c>
      <c r="M31" s="26"/>
      <c r="N31" s="26"/>
      <c r="O31" s="26"/>
      <c r="P31" s="26"/>
      <c r="Q31" s="26"/>
      <c r="R31" s="26"/>
      <c r="S31" s="26"/>
      <c r="T31" s="26"/>
      <c r="U31" s="28"/>
      <c r="V31" s="28"/>
    </row>
    <row r="32" spans="1:22" s="5" customFormat="1" ht="24.95" customHeight="1" x14ac:dyDescent="0.3">
      <c r="A32" s="57" t="s">
        <v>83</v>
      </c>
      <c r="B32" s="61" t="s">
        <v>26</v>
      </c>
      <c r="C32" s="59">
        <v>0.5</v>
      </c>
      <c r="D32" s="59">
        <v>0.6</v>
      </c>
      <c r="E32" s="59">
        <v>0.6</v>
      </c>
      <c r="F32" s="59">
        <v>0.8</v>
      </c>
      <c r="G32" s="59">
        <v>0.8</v>
      </c>
      <c r="H32" s="59">
        <v>1</v>
      </c>
      <c r="I32" s="59">
        <v>1.1000000000000001</v>
      </c>
      <c r="J32" s="59">
        <v>1.2</v>
      </c>
      <c r="K32" s="59">
        <v>1.3</v>
      </c>
      <c r="L32" s="59">
        <v>1.4</v>
      </c>
      <c r="M32" s="26"/>
      <c r="N32" s="26"/>
      <c r="O32" s="26"/>
      <c r="P32" s="26"/>
      <c r="Q32" s="26"/>
      <c r="R32" s="26"/>
      <c r="S32" s="26"/>
      <c r="T32" s="26"/>
      <c r="U32" s="28"/>
      <c r="V32" s="28"/>
    </row>
    <row r="33" spans="1:22" s="5" customFormat="1" ht="24.95" customHeight="1" x14ac:dyDescent="0.3">
      <c r="A33" s="63" t="s">
        <v>73</v>
      </c>
      <c r="B33" s="64">
        <f t="shared" ref="B33:L33" si="5">SUM(B34,B37)</f>
        <v>224.6</v>
      </c>
      <c r="C33" s="64">
        <f t="shared" si="5"/>
        <v>254.7</v>
      </c>
      <c r="D33" s="64">
        <f t="shared" si="5"/>
        <v>280.60000000000002</v>
      </c>
      <c r="E33" s="64">
        <f t="shared" si="5"/>
        <v>311.09999999999997</v>
      </c>
      <c r="F33" s="64">
        <f t="shared" si="5"/>
        <v>350.5</v>
      </c>
      <c r="G33" s="64">
        <f t="shared" si="5"/>
        <v>137.80000000000001</v>
      </c>
      <c r="H33" s="64">
        <f t="shared" si="5"/>
        <v>169.3</v>
      </c>
      <c r="I33" s="64">
        <f t="shared" si="5"/>
        <v>188.5</v>
      </c>
      <c r="J33" s="64">
        <f t="shared" si="5"/>
        <v>205.5</v>
      </c>
      <c r="K33" s="64">
        <f t="shared" si="5"/>
        <v>220.9</v>
      </c>
      <c r="L33" s="64">
        <f t="shared" si="5"/>
        <v>70.900000000000006</v>
      </c>
      <c r="M33" s="25"/>
      <c r="N33" s="25"/>
      <c r="O33" s="25"/>
      <c r="P33" s="25"/>
      <c r="Q33" s="25"/>
      <c r="R33" s="25"/>
      <c r="S33" s="25"/>
      <c r="T33" s="25"/>
      <c r="U33" s="25"/>
      <c r="V33" s="27"/>
    </row>
    <row r="34" spans="1:22" s="5" customFormat="1" ht="30" customHeight="1" x14ac:dyDescent="0.3">
      <c r="A34" s="97" t="s">
        <v>82</v>
      </c>
      <c r="B34" s="59">
        <f t="shared" ref="B34:L34" si="6">SUM(B35:B36)</f>
        <v>205.1</v>
      </c>
      <c r="C34" s="59">
        <f t="shared" si="6"/>
        <v>230.7</v>
      </c>
      <c r="D34" s="59">
        <f t="shared" si="6"/>
        <v>252</v>
      </c>
      <c r="E34" s="59">
        <f t="shared" si="6"/>
        <v>279.2</v>
      </c>
      <c r="F34" s="59">
        <f t="shared" si="6"/>
        <v>313.5</v>
      </c>
      <c r="G34" s="59">
        <f t="shared" si="6"/>
        <v>103.8</v>
      </c>
      <c r="H34" s="59">
        <f t="shared" si="6"/>
        <v>120.9</v>
      </c>
      <c r="I34" s="59">
        <f t="shared" si="6"/>
        <v>134.19999999999999</v>
      </c>
      <c r="J34" s="59">
        <f t="shared" si="6"/>
        <v>144.30000000000001</v>
      </c>
      <c r="K34" s="59">
        <f t="shared" si="6"/>
        <v>155.80000000000001</v>
      </c>
      <c r="L34" s="59">
        <f t="shared" si="6"/>
        <v>0</v>
      </c>
      <c r="M34" s="26"/>
      <c r="N34" s="26"/>
      <c r="O34" s="26"/>
      <c r="P34" s="26"/>
      <c r="Q34" s="26"/>
      <c r="R34" s="26"/>
      <c r="S34" s="26"/>
      <c r="T34" s="26"/>
      <c r="U34" s="28"/>
      <c r="V34" s="28"/>
    </row>
    <row r="35" spans="1:22" s="5" customFormat="1" ht="30" customHeight="1" x14ac:dyDescent="0.3">
      <c r="A35" s="99" t="s">
        <v>74</v>
      </c>
      <c r="B35" s="59">
        <v>50.6</v>
      </c>
      <c r="C35" s="59">
        <v>60</v>
      </c>
      <c r="D35" s="59">
        <v>67.7</v>
      </c>
      <c r="E35" s="59">
        <v>81</v>
      </c>
      <c r="F35" s="59">
        <v>93</v>
      </c>
      <c r="G35" s="59">
        <v>103.8</v>
      </c>
      <c r="H35" s="59">
        <v>120.9</v>
      </c>
      <c r="I35" s="59">
        <v>134.19999999999999</v>
      </c>
      <c r="J35" s="59">
        <v>144.30000000000001</v>
      </c>
      <c r="K35" s="59">
        <v>155.80000000000001</v>
      </c>
      <c r="L35" s="61" t="s">
        <v>26</v>
      </c>
      <c r="M35" s="26"/>
      <c r="N35" s="26"/>
      <c r="O35" s="26"/>
      <c r="P35" s="26"/>
      <c r="Q35" s="26"/>
      <c r="R35" s="26"/>
      <c r="S35" s="26"/>
      <c r="T35" s="26"/>
      <c r="U35" s="28"/>
      <c r="V35" s="28"/>
    </row>
    <row r="36" spans="1:22" s="5" customFormat="1" ht="35.1" customHeight="1" x14ac:dyDescent="0.3">
      <c r="A36" s="99" t="s">
        <v>75</v>
      </c>
      <c r="B36" s="59">
        <v>154.5</v>
      </c>
      <c r="C36" s="59">
        <v>170.7</v>
      </c>
      <c r="D36" s="59">
        <v>184.3</v>
      </c>
      <c r="E36" s="59">
        <v>198.2</v>
      </c>
      <c r="F36" s="59">
        <v>220.5</v>
      </c>
      <c r="G36" s="62" t="s">
        <v>27</v>
      </c>
      <c r="H36" s="62" t="s">
        <v>27</v>
      </c>
      <c r="I36" s="62" t="s">
        <v>27</v>
      </c>
      <c r="J36" s="62" t="s">
        <v>27</v>
      </c>
      <c r="K36" s="62" t="s">
        <v>27</v>
      </c>
      <c r="L36" s="62" t="s">
        <v>27</v>
      </c>
      <c r="M36" s="26"/>
      <c r="N36" s="26"/>
      <c r="O36" s="26"/>
      <c r="P36" s="26"/>
      <c r="Q36" s="26"/>
      <c r="R36" s="26"/>
      <c r="S36" s="26"/>
      <c r="T36" s="26"/>
      <c r="U36" s="28"/>
      <c r="V36" s="28"/>
    </row>
    <row r="37" spans="1:22" s="5" customFormat="1" ht="30" customHeight="1" thickBot="1" x14ac:dyDescent="0.35">
      <c r="A37" s="98" t="s">
        <v>81</v>
      </c>
      <c r="B37" s="65">
        <v>19.5</v>
      </c>
      <c r="C37" s="65">
        <v>24</v>
      </c>
      <c r="D37" s="65">
        <v>28.6</v>
      </c>
      <c r="E37" s="65">
        <v>31.9</v>
      </c>
      <c r="F37" s="65">
        <v>37</v>
      </c>
      <c r="G37" s="65">
        <v>34</v>
      </c>
      <c r="H37" s="65">
        <v>48.4</v>
      </c>
      <c r="I37" s="65">
        <v>54.3</v>
      </c>
      <c r="J37" s="65">
        <v>61.2</v>
      </c>
      <c r="K37" s="65">
        <v>65.099999999999994</v>
      </c>
      <c r="L37" s="65">
        <v>70.900000000000006</v>
      </c>
      <c r="M37" s="26"/>
      <c r="N37" s="26"/>
      <c r="O37" s="26"/>
      <c r="P37" s="26"/>
      <c r="Q37" s="26"/>
      <c r="R37" s="26"/>
      <c r="S37" s="26"/>
      <c r="T37" s="26"/>
      <c r="U37" s="28"/>
      <c r="V37" s="28"/>
    </row>
    <row r="38" spans="1:22" ht="20.100000000000001" customHeight="1" x14ac:dyDescent="0.25">
      <c r="A38" s="36" t="s">
        <v>97</v>
      </c>
      <c r="B38" s="24"/>
      <c r="C38" s="1"/>
      <c r="D38" s="21"/>
      <c r="E38" s="21"/>
      <c r="F38" s="3"/>
      <c r="G38" s="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20.100000000000001" customHeight="1" x14ac:dyDescent="0.25">
      <c r="B39" s="22"/>
      <c r="C39" s="1"/>
      <c r="D39" s="21"/>
      <c r="E39" s="21"/>
      <c r="F39" s="3"/>
      <c r="G39" s="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20.100000000000001" customHeight="1" x14ac:dyDescent="0.25">
      <c r="B40" s="23"/>
      <c r="C40" s="1"/>
      <c r="D40" s="21"/>
      <c r="E40" s="21"/>
      <c r="F40" s="3"/>
      <c r="G40" s="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20.100000000000001" customHeight="1" x14ac:dyDescent="0.25">
      <c r="B41" s="24"/>
      <c r="C41" s="1"/>
      <c r="D41" s="21"/>
      <c r="E41" s="21"/>
      <c r="F41" s="3"/>
      <c r="G41" s="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20.100000000000001" customHeight="1" x14ac:dyDescent="0.25">
      <c r="B42" s="1"/>
      <c r="C42" s="1"/>
      <c r="D42" s="21"/>
      <c r="E42"/>
      <c r="F42" s="3"/>
      <c r="G42" s="4"/>
    </row>
    <row r="43" spans="1:22" ht="20.100000000000001" customHeight="1" x14ac:dyDescent="0.25">
      <c r="B43" s="1"/>
      <c r="C43" s="1"/>
      <c r="D43" s="21"/>
      <c r="E43"/>
      <c r="F43" s="3"/>
      <c r="G43" s="3"/>
    </row>
    <row r="44" spans="1:22" ht="20.100000000000001" customHeight="1" x14ac:dyDescent="0.25">
      <c r="B44" s="1"/>
      <c r="C44" s="1"/>
      <c r="D44" s="21"/>
      <c r="E44"/>
      <c r="F44" s="3"/>
      <c r="G44" s="4"/>
    </row>
    <row r="45" spans="1:22" ht="20.100000000000001" customHeight="1" x14ac:dyDescent="0.25">
      <c r="B45" s="1"/>
      <c r="C45" s="1"/>
      <c r="D45" s="21"/>
      <c r="E45"/>
      <c r="F45" s="3"/>
      <c r="G45" s="4"/>
    </row>
    <row r="46" spans="1:22" ht="20.100000000000001" customHeight="1" x14ac:dyDescent="0.25">
      <c r="B46" s="1"/>
      <c r="C46" s="1"/>
      <c r="D46" s="21"/>
      <c r="E46"/>
      <c r="F46" s="3"/>
      <c r="G46" s="4"/>
    </row>
    <row r="47" spans="1:22" ht="20.100000000000001" customHeight="1" x14ac:dyDescent="0.25">
      <c r="B47" s="1"/>
      <c r="C47" s="1"/>
      <c r="D47" s="21"/>
      <c r="E47"/>
      <c r="F47" s="3"/>
      <c r="G47" s="4"/>
    </row>
    <row r="48" spans="1:22" ht="20.100000000000001" customHeight="1" x14ac:dyDescent="0.25">
      <c r="B48" s="1"/>
      <c r="C48" s="1"/>
      <c r="D48" s="21"/>
      <c r="E48"/>
      <c r="F48" s="3"/>
      <c r="G48" s="4"/>
    </row>
    <row r="49" spans="2:7" ht="20.100000000000001" customHeight="1" x14ac:dyDescent="0.25">
      <c r="B49" s="1"/>
      <c r="C49" s="1"/>
      <c r="D49" s="21"/>
      <c r="E49"/>
      <c r="F49" s="3"/>
      <c r="G49" s="4"/>
    </row>
    <row r="50" spans="2:7" ht="20.100000000000001" customHeight="1" x14ac:dyDescent="0.25">
      <c r="B50" s="1"/>
      <c r="C50" s="1"/>
      <c r="D50" s="21"/>
      <c r="E50"/>
      <c r="F50" s="3"/>
      <c r="G50" s="4"/>
    </row>
    <row r="51" spans="2:7" ht="20.100000000000001" customHeight="1" x14ac:dyDescent="0.25">
      <c r="B51" s="1"/>
      <c r="C51" s="1"/>
      <c r="D51" s="21"/>
      <c r="E51"/>
      <c r="F51" s="3"/>
      <c r="G51" s="4"/>
    </row>
    <row r="52" spans="2:7" ht="20.100000000000001" customHeight="1" x14ac:dyDescent="0.25">
      <c r="B52" s="1"/>
      <c r="C52" s="1"/>
      <c r="D52" s="21"/>
      <c r="E52"/>
      <c r="F52" s="3"/>
      <c r="G52" s="4"/>
    </row>
    <row r="53" spans="2:7" ht="20.100000000000001" customHeight="1" x14ac:dyDescent="0.25">
      <c r="B53" s="1"/>
      <c r="C53" s="1"/>
      <c r="D53" s="21"/>
      <c r="E53"/>
      <c r="F53" s="3"/>
      <c r="G53" s="4"/>
    </row>
    <row r="54" spans="2:7" ht="20.100000000000001" customHeight="1" x14ac:dyDescent="0.25">
      <c r="B54" s="1"/>
      <c r="C54" s="1"/>
      <c r="D54" s="1"/>
      <c r="F54" s="3"/>
      <c r="G54" s="4"/>
    </row>
    <row r="55" spans="2:7" ht="20.100000000000001" customHeight="1" x14ac:dyDescent="0.25">
      <c r="B55" s="1"/>
      <c r="C55" s="1"/>
      <c r="D55" s="1"/>
      <c r="F55" s="3"/>
      <c r="G55" s="4"/>
    </row>
    <row r="56" spans="2:7" ht="20.100000000000001" customHeight="1" x14ac:dyDescent="0.25">
      <c r="F56" s="3"/>
      <c r="G56" s="4"/>
    </row>
    <row r="57" spans="2:7" ht="20.100000000000001" customHeight="1" x14ac:dyDescent="0.25">
      <c r="F57" s="3"/>
      <c r="G57" s="4"/>
    </row>
    <row r="58" spans="2:7" ht="20.100000000000001" customHeight="1" x14ac:dyDescent="0.25">
      <c r="F58" s="3"/>
      <c r="G58" s="4"/>
    </row>
    <row r="59" spans="2:7" ht="20.100000000000001" customHeight="1" x14ac:dyDescent="0.25">
      <c r="F59" s="3"/>
      <c r="G59" s="4"/>
    </row>
    <row r="60" spans="2:7" ht="20.100000000000001" customHeight="1" x14ac:dyDescent="0.25">
      <c r="F60" s="3"/>
      <c r="G60" s="4"/>
    </row>
    <row r="61" spans="2:7" ht="20.100000000000001" customHeight="1" x14ac:dyDescent="0.25">
      <c r="F61" s="3"/>
      <c r="G61" s="4"/>
    </row>
    <row r="62" spans="2:7" ht="20.100000000000001" customHeight="1" x14ac:dyDescent="0.25">
      <c r="F62" s="3"/>
      <c r="G62" s="4"/>
    </row>
    <row r="63" spans="2:7" ht="20.100000000000001" customHeight="1" x14ac:dyDescent="0.25">
      <c r="F63" s="3"/>
      <c r="G63" s="4"/>
    </row>
    <row r="64" spans="2:7" ht="20.100000000000001" customHeight="1" x14ac:dyDescent="0.25">
      <c r="F64" s="3"/>
      <c r="G64" s="4"/>
    </row>
    <row r="65" spans="6:7" ht="20.100000000000001" customHeight="1" x14ac:dyDescent="0.25">
      <c r="F65" s="3"/>
      <c r="G65" s="4"/>
    </row>
    <row r="66" spans="6:7" ht="20.100000000000001" customHeight="1" x14ac:dyDescent="0.25">
      <c r="F66" s="3"/>
      <c r="G66" s="4"/>
    </row>
    <row r="67" spans="6:7" ht="20.100000000000001" customHeight="1" x14ac:dyDescent="0.25">
      <c r="F67" s="3"/>
      <c r="G67" s="4"/>
    </row>
    <row r="68" spans="6:7" ht="20.100000000000001" customHeight="1" x14ac:dyDescent="0.25">
      <c r="F68" s="3"/>
      <c r="G68" s="4"/>
    </row>
    <row r="69" spans="6:7" ht="20.100000000000001" customHeight="1" x14ac:dyDescent="0.25">
      <c r="F69" s="3"/>
      <c r="G69" s="4"/>
    </row>
    <row r="70" spans="6:7" ht="20.100000000000001" customHeight="1" x14ac:dyDescent="0.25">
      <c r="F70" s="3"/>
      <c r="G70" s="4"/>
    </row>
    <row r="71" spans="6:7" ht="20.100000000000001" customHeight="1" x14ac:dyDescent="0.25">
      <c r="F71" s="3"/>
      <c r="G71" s="4"/>
    </row>
    <row r="72" spans="6:7" ht="20.100000000000001" customHeight="1" x14ac:dyDescent="0.25">
      <c r="F72" s="3"/>
      <c r="G72" s="4"/>
    </row>
    <row r="73" spans="6:7" ht="20.100000000000001" customHeight="1" x14ac:dyDescent="0.25">
      <c r="F73" s="3"/>
      <c r="G73" s="4"/>
    </row>
    <row r="74" spans="6:7" ht="20.100000000000001" customHeight="1" x14ac:dyDescent="0.25">
      <c r="F74" s="3"/>
      <c r="G74" s="4"/>
    </row>
    <row r="75" spans="6:7" ht="20.100000000000001" customHeight="1" x14ac:dyDescent="0.25">
      <c r="F75" s="3"/>
      <c r="G75" s="4"/>
    </row>
    <row r="76" spans="6:7" ht="20.100000000000001" customHeight="1" x14ac:dyDescent="0.25">
      <c r="F76" s="3"/>
      <c r="G76" s="4"/>
    </row>
    <row r="77" spans="6:7" ht="20.100000000000001" customHeight="1" x14ac:dyDescent="0.25">
      <c r="F77" s="3"/>
      <c r="G77" s="4"/>
    </row>
    <row r="78" spans="6:7" ht="20.100000000000001" customHeight="1" x14ac:dyDescent="0.25">
      <c r="F78" s="3"/>
      <c r="G78" s="4"/>
    </row>
    <row r="79" spans="6:7" ht="20.100000000000001" customHeight="1" x14ac:dyDescent="0.25">
      <c r="F79" s="3"/>
      <c r="G79" s="4"/>
    </row>
    <row r="80" spans="6:7" ht="20.100000000000001" customHeight="1" x14ac:dyDescent="0.25">
      <c r="F80" s="3"/>
      <c r="G80" s="4"/>
    </row>
    <row r="81" spans="6:7" ht="20.100000000000001" customHeight="1" x14ac:dyDescent="0.25">
      <c r="F81" s="3"/>
      <c r="G81" s="4"/>
    </row>
    <row r="82" spans="6:7" ht="20.100000000000001" customHeight="1" x14ac:dyDescent="0.25">
      <c r="F82" s="3"/>
      <c r="G82" s="4"/>
    </row>
    <row r="83" spans="6:7" ht="20.100000000000001" customHeight="1" x14ac:dyDescent="0.25">
      <c r="F83" s="3"/>
      <c r="G83" s="4"/>
    </row>
    <row r="84" spans="6:7" ht="20.100000000000001" customHeight="1" x14ac:dyDescent="0.25">
      <c r="F84" s="3"/>
      <c r="G84" s="4"/>
    </row>
    <row r="85" spans="6:7" ht="20.100000000000001" customHeight="1" x14ac:dyDescent="0.25">
      <c r="F85" s="3"/>
      <c r="G85" s="4"/>
    </row>
    <row r="86" spans="6:7" ht="20.100000000000001" customHeight="1" x14ac:dyDescent="0.25">
      <c r="F86" s="3"/>
      <c r="G86" s="4"/>
    </row>
    <row r="87" spans="6:7" ht="20.100000000000001" customHeight="1" x14ac:dyDescent="0.25">
      <c r="F87" s="3"/>
      <c r="G87" s="4"/>
    </row>
    <row r="88" spans="6:7" ht="20.100000000000001" customHeight="1" x14ac:dyDescent="0.25">
      <c r="F88" s="3"/>
      <c r="G88" s="4"/>
    </row>
    <row r="89" spans="6:7" ht="20.100000000000001" customHeight="1" x14ac:dyDescent="0.25">
      <c r="F89" s="3"/>
      <c r="G89" s="4"/>
    </row>
    <row r="90" spans="6:7" ht="20.100000000000001" customHeight="1" x14ac:dyDescent="0.25">
      <c r="F90" s="3"/>
      <c r="G90" s="4"/>
    </row>
    <row r="91" spans="6:7" ht="20.100000000000001" customHeight="1" x14ac:dyDescent="0.25">
      <c r="F91" s="3"/>
      <c r="G91" s="4"/>
    </row>
    <row r="92" spans="6:7" ht="20.100000000000001" customHeight="1" x14ac:dyDescent="0.25">
      <c r="F92" s="3"/>
      <c r="G92" s="4"/>
    </row>
    <row r="93" spans="6:7" ht="20.100000000000001" customHeight="1" x14ac:dyDescent="0.25">
      <c r="F93" s="3"/>
      <c r="G93" s="4"/>
    </row>
    <row r="94" spans="6:7" ht="20.100000000000001" customHeight="1" x14ac:dyDescent="0.25">
      <c r="F94" s="3"/>
      <c r="G94" s="4"/>
    </row>
    <row r="95" spans="6:7" ht="20.100000000000001" customHeight="1" x14ac:dyDescent="0.25">
      <c r="F95" s="3"/>
      <c r="G95" s="4"/>
    </row>
    <row r="96" spans="6:7" ht="20.100000000000001" customHeight="1" x14ac:dyDescent="0.25">
      <c r="F96" s="3"/>
      <c r="G96" s="4"/>
    </row>
    <row r="97" spans="6:7" ht="20.100000000000001" customHeight="1" x14ac:dyDescent="0.25">
      <c r="F97" s="3"/>
      <c r="G97" s="4"/>
    </row>
    <row r="98" spans="6:7" ht="20.100000000000001" customHeight="1" x14ac:dyDescent="0.25">
      <c r="F98" s="3"/>
    </row>
    <row r="99" spans="6:7" ht="20.100000000000001" customHeight="1" x14ac:dyDescent="0.25">
      <c r="F99" s="3"/>
    </row>
    <row r="100" spans="6:7" ht="20.100000000000001" customHeight="1" x14ac:dyDescent="0.25">
      <c r="F100" s="3"/>
    </row>
    <row r="101" spans="6:7" ht="20.100000000000001" customHeight="1" x14ac:dyDescent="0.25">
      <c r="F101" s="3"/>
    </row>
    <row r="102" spans="6:7" ht="20.100000000000001" customHeight="1" x14ac:dyDescent="0.25">
      <c r="F102" s="3"/>
    </row>
    <row r="103" spans="6:7" ht="20.100000000000001" customHeight="1" x14ac:dyDescent="0.25">
      <c r="F103" s="3"/>
    </row>
    <row r="104" spans="6:7" ht="20.100000000000001" customHeight="1" x14ac:dyDescent="0.25"/>
    <row r="105" spans="6:7" ht="20.100000000000001" customHeight="1" x14ac:dyDescent="0.25"/>
    <row r="106" spans="6:7" ht="20.100000000000001" customHeight="1" x14ac:dyDescent="0.25"/>
    <row r="107" spans="6:7" ht="20.100000000000001" customHeight="1" x14ac:dyDescent="0.25"/>
    <row r="108" spans="6:7" ht="20.100000000000001" customHeight="1" x14ac:dyDescent="0.25"/>
    <row r="109" spans="6:7" ht="20.100000000000001" customHeight="1" x14ac:dyDescent="0.25"/>
    <row r="110" spans="6:7" ht="20.100000000000001" customHeight="1" x14ac:dyDescent="0.25"/>
    <row r="111" spans="6:7" ht="20.100000000000001" customHeight="1" x14ac:dyDescent="0.25"/>
    <row r="112" spans="6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</sheetData>
  <customSheetViews>
    <customSheetView guid="{4BA530B0-00CD-4136-A5A2-BE4A69A338F8}" showGridLines="0" printArea="1" hiddenRows="1" hiddenColumns="1" topLeftCell="B1">
      <selection activeCell="B10" sqref="B10"/>
      <pageMargins left="0.98425196850393704" right="0.98425196850393704" top="0.78740157480314965" bottom="0.59055118110236227" header="0.39370078740157483" footer="0.39370078740157483"/>
      <pageSetup paperSize="9" scale="65" firstPageNumber="6" orientation="portrait" useFirstPageNumber="1" r:id="rId1"/>
      <headerFooter alignWithMargins="0"/>
    </customSheetView>
    <customSheetView guid="{7E13D3E2-9E38-4059-9599-2E41C6DC7CAD}" showGridLines="0" printArea="1" hiddenRows="1" hiddenColumns="1">
      <selection activeCell="A18" sqref="A18"/>
      <pageMargins left="0.98425196850393704" right="0.98425196850393704" top="0.78740157480314965" bottom="0.59055118110236227" header="0.39370078740157483" footer="0.39370078740157483"/>
      <pageSetup paperSize="9" scale="65" firstPageNumber="6" orientation="portrait" useFirstPageNumber="1" r:id="rId2"/>
      <headerFooter alignWithMargins="0"/>
    </customSheetView>
  </customSheetViews>
  <mergeCells count="11">
    <mergeCell ref="B23:B26"/>
    <mergeCell ref="C23:C26"/>
    <mergeCell ref="D23:D26"/>
    <mergeCell ref="J23:J28"/>
    <mergeCell ref="K23:K28"/>
    <mergeCell ref="L23:L28"/>
    <mergeCell ref="E23:E26"/>
    <mergeCell ref="F23:F26"/>
    <mergeCell ref="G23:G26"/>
    <mergeCell ref="H23:H26"/>
    <mergeCell ref="I23:I26"/>
  </mergeCells>
  <pageMargins left="0.98425196850393704" right="0.98425196850393704" top="0.78740157480314965" bottom="0.59055118110236227" header="0.39370078740157483" footer="0.39370078740157483"/>
  <pageSetup paperSize="9" scale="65" firstPageNumber="6" orientation="portrait" useFirstPageNumber="1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0432B-7EFE-475F-96D3-BADAFB0F1722}">
  <dimension ref="A1:U167"/>
  <sheetViews>
    <sheetView showGridLines="0" zoomScale="75" zoomScaleNormal="75" workbookViewId="0"/>
  </sheetViews>
  <sheetFormatPr defaultColWidth="11.42578125" defaultRowHeight="13.5" x14ac:dyDescent="0.25"/>
  <cols>
    <col min="1" max="1" width="63.42578125" style="1" bestFit="1" customWidth="1"/>
    <col min="2" max="2" width="11.7109375" style="2" bestFit="1" customWidth="1"/>
    <col min="3" max="3" width="16" style="2" customWidth="1"/>
    <col min="4" max="4" width="15.5703125" style="2" customWidth="1"/>
    <col min="5" max="5" width="13.7109375" style="1" customWidth="1"/>
    <col min="6" max="6" width="13.28515625" style="1" customWidth="1"/>
    <col min="7" max="7" width="13.85546875" style="2" customWidth="1"/>
    <col min="8" max="8" width="13" style="2" customWidth="1"/>
    <col min="9" max="9" width="12.42578125" style="2" customWidth="1"/>
    <col min="10" max="10" width="13.85546875" style="2" customWidth="1"/>
    <col min="11" max="11" width="14" style="2" customWidth="1"/>
    <col min="12" max="21" width="19.7109375" style="2" customWidth="1"/>
    <col min="22" max="16384" width="11.42578125" style="2"/>
  </cols>
  <sheetData>
    <row r="1" spans="1:21" ht="19.5" customHeight="1" x14ac:dyDescent="0.25">
      <c r="A1" s="43" t="s">
        <v>80</v>
      </c>
    </row>
    <row r="2" spans="1:21" s="18" customFormat="1" ht="16.5" x14ac:dyDescent="0.2">
      <c r="A2" s="44" t="s">
        <v>0</v>
      </c>
      <c r="B2" s="15"/>
      <c r="C2" s="16"/>
      <c r="D2" s="16"/>
      <c r="E2" s="16"/>
      <c r="F2" s="16"/>
      <c r="G2" s="16"/>
      <c r="H2" s="16"/>
      <c r="I2" s="16"/>
      <c r="J2" s="16"/>
      <c r="K2" s="17"/>
    </row>
    <row r="3" spans="1:21" s="18" customFormat="1" ht="16.5" x14ac:dyDescent="0.2">
      <c r="A3" s="44" t="s">
        <v>101</v>
      </c>
      <c r="B3" s="15"/>
      <c r="C3" s="16"/>
      <c r="D3" s="16"/>
      <c r="E3" s="16"/>
      <c r="F3" s="16"/>
      <c r="G3" s="16"/>
      <c r="H3" s="16"/>
      <c r="I3" s="16"/>
      <c r="J3" s="16"/>
      <c r="K3" s="17"/>
    </row>
    <row r="4" spans="1:21" s="18" customFormat="1" ht="16.5" x14ac:dyDescent="0.2">
      <c r="A4" s="44" t="s">
        <v>102</v>
      </c>
      <c r="B4" s="15"/>
      <c r="C4" s="16"/>
      <c r="D4" s="16"/>
      <c r="E4" s="16"/>
      <c r="F4" s="16"/>
      <c r="G4" s="16"/>
      <c r="H4" s="16"/>
      <c r="I4" s="16"/>
      <c r="J4" s="16"/>
      <c r="K4" s="17"/>
    </row>
    <row r="5" spans="1:21" s="18" customFormat="1" ht="16.5" x14ac:dyDescent="0.2">
      <c r="A5" s="44" t="s">
        <v>76</v>
      </c>
      <c r="B5" s="15"/>
      <c r="C5" s="16"/>
      <c r="D5" s="16"/>
      <c r="E5" s="16"/>
      <c r="F5" s="16"/>
      <c r="G5" s="16"/>
      <c r="H5" s="16"/>
      <c r="I5" s="16"/>
      <c r="J5" s="16"/>
      <c r="K5" s="17"/>
    </row>
    <row r="6" spans="1:21" s="18" customFormat="1" ht="16.5" x14ac:dyDescent="0.2">
      <c r="A6" s="44" t="s">
        <v>103</v>
      </c>
      <c r="B6" s="15"/>
      <c r="C6" s="16"/>
      <c r="D6" s="16"/>
      <c r="E6" s="16"/>
      <c r="F6" s="16"/>
      <c r="G6" s="16"/>
      <c r="H6" s="16"/>
      <c r="I6" s="16"/>
      <c r="J6" s="16"/>
      <c r="K6" s="17"/>
    </row>
    <row r="7" spans="1:21" s="18" customFormat="1" ht="16.5" x14ac:dyDescent="0.2">
      <c r="A7" s="44" t="s">
        <v>104</v>
      </c>
      <c r="B7" s="15"/>
      <c r="C7" s="16"/>
      <c r="D7" s="16"/>
      <c r="E7" s="16"/>
      <c r="F7" s="16"/>
      <c r="G7" s="16"/>
      <c r="H7" s="16"/>
      <c r="I7" s="16"/>
      <c r="J7" s="16"/>
      <c r="K7" s="17"/>
    </row>
    <row r="8" spans="1:21" s="18" customFormat="1" ht="16.5" x14ac:dyDescent="0.2">
      <c r="A8" s="44" t="s">
        <v>70</v>
      </c>
      <c r="B8" s="15"/>
      <c r="C8" s="16"/>
      <c r="D8" s="16"/>
      <c r="E8" s="16"/>
      <c r="F8" s="16"/>
      <c r="G8" s="16"/>
      <c r="H8" s="16"/>
      <c r="I8" s="16"/>
      <c r="J8" s="16"/>
      <c r="K8" s="17"/>
    </row>
    <row r="9" spans="1:21" ht="15" customHeight="1" x14ac:dyDescent="0.25">
      <c r="B9" s="11"/>
      <c r="C9" s="19"/>
      <c r="D9" s="20"/>
    </row>
    <row r="10" spans="1:21" ht="18.75" thickBot="1" x14ac:dyDescent="0.3">
      <c r="A10" s="46"/>
      <c r="B10" s="13" t="s">
        <v>31</v>
      </c>
      <c r="C10" s="13" t="s">
        <v>32</v>
      </c>
      <c r="D10" s="13" t="s">
        <v>33</v>
      </c>
      <c r="E10" s="13" t="s">
        <v>34</v>
      </c>
      <c r="F10" s="13" t="s">
        <v>35</v>
      </c>
      <c r="G10" s="13" t="s">
        <v>36</v>
      </c>
      <c r="H10" s="13" t="s">
        <v>37</v>
      </c>
      <c r="I10" s="13" t="s">
        <v>38</v>
      </c>
      <c r="J10" s="13" t="s">
        <v>2</v>
      </c>
      <c r="K10" s="13" t="s">
        <v>39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s="10" customFormat="1" ht="24.95" customHeight="1" x14ac:dyDescent="0.2">
      <c r="A11" s="47" t="s">
        <v>71</v>
      </c>
      <c r="B11" s="29">
        <f>SUM(B12:B22)</f>
        <v>2845.2999999999997</v>
      </c>
      <c r="C11" s="29">
        <f t="shared" ref="C11:K11" si="0">SUM(C12:C22)</f>
        <v>2948.3000000000006</v>
      </c>
      <c r="D11" s="29">
        <f t="shared" si="0"/>
        <v>3148.1</v>
      </c>
      <c r="E11" s="29">
        <f t="shared" si="0"/>
        <v>3366.5</v>
      </c>
      <c r="F11" s="29">
        <f t="shared" si="0"/>
        <v>3743.8</v>
      </c>
      <c r="G11" s="29">
        <f t="shared" si="0"/>
        <v>4000.6000000000004</v>
      </c>
      <c r="H11" s="29">
        <f t="shared" si="0"/>
        <v>4290.6000000000004</v>
      </c>
      <c r="I11" s="29">
        <f t="shared" si="0"/>
        <v>4456.7999999999993</v>
      </c>
      <c r="J11" s="29">
        <f t="shared" si="0"/>
        <v>4684.6000000000004</v>
      </c>
      <c r="K11" s="29">
        <f t="shared" si="0"/>
        <v>4873.0999999999995</v>
      </c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s="10" customFormat="1" ht="24.95" customHeight="1" x14ac:dyDescent="0.3">
      <c r="A12" s="66" t="s">
        <v>92</v>
      </c>
      <c r="B12" s="32">
        <v>740.8</v>
      </c>
      <c r="C12" s="32">
        <v>785</v>
      </c>
      <c r="D12" s="32">
        <v>854.1</v>
      </c>
      <c r="E12" s="32">
        <v>934.4</v>
      </c>
      <c r="F12" s="32">
        <v>1046.8</v>
      </c>
      <c r="G12" s="32">
        <v>1128.9000000000001</v>
      </c>
      <c r="H12" s="32">
        <v>1230</v>
      </c>
      <c r="I12" s="32">
        <v>1289</v>
      </c>
      <c r="J12" s="32">
        <v>1379.5</v>
      </c>
      <c r="K12" s="32">
        <v>1463.7</v>
      </c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s="10" customFormat="1" ht="24.95" customHeight="1" x14ac:dyDescent="0.3">
      <c r="A13" s="66" t="s">
        <v>91</v>
      </c>
      <c r="B13" s="31">
        <v>677.4</v>
      </c>
      <c r="C13" s="31">
        <v>703.7</v>
      </c>
      <c r="D13" s="31">
        <v>748.4</v>
      </c>
      <c r="E13" s="31">
        <v>805.6</v>
      </c>
      <c r="F13" s="31">
        <v>928.3</v>
      </c>
      <c r="G13" s="31">
        <v>1006.2</v>
      </c>
      <c r="H13" s="31">
        <v>1077.5999999999999</v>
      </c>
      <c r="I13" s="31">
        <v>1138.3</v>
      </c>
      <c r="J13" s="31">
        <v>1217.5</v>
      </c>
      <c r="K13" s="31">
        <v>1292.8</v>
      </c>
      <c r="L13" s="26"/>
      <c r="M13" s="26"/>
      <c r="N13" s="26"/>
      <c r="O13" s="26"/>
      <c r="P13" s="26"/>
      <c r="Q13" s="26"/>
      <c r="R13" s="26"/>
      <c r="S13" s="26"/>
      <c r="T13" s="28"/>
      <c r="U13" s="28"/>
    </row>
    <row r="14" spans="1:21" s="10" customFormat="1" ht="24.95" customHeight="1" x14ac:dyDescent="0.3">
      <c r="A14" s="66" t="s">
        <v>90</v>
      </c>
      <c r="B14" s="31">
        <v>16.7</v>
      </c>
      <c r="C14" s="31">
        <v>17.100000000000001</v>
      </c>
      <c r="D14" s="31">
        <v>18.899999999999999</v>
      </c>
      <c r="E14" s="31">
        <v>20.399999999999999</v>
      </c>
      <c r="F14" s="31">
        <v>21.9</v>
      </c>
      <c r="G14" s="31">
        <v>23.3</v>
      </c>
      <c r="H14" s="31">
        <v>26.3</v>
      </c>
      <c r="I14" s="31">
        <v>28.6</v>
      </c>
      <c r="J14" s="31">
        <v>28.7</v>
      </c>
      <c r="K14" s="31">
        <v>29</v>
      </c>
      <c r="L14" s="26"/>
      <c r="M14" s="26"/>
      <c r="N14" s="26"/>
      <c r="O14" s="26"/>
      <c r="P14" s="26"/>
      <c r="Q14" s="26"/>
      <c r="R14" s="26"/>
      <c r="S14" s="26"/>
      <c r="T14" s="28"/>
      <c r="U14" s="28"/>
    </row>
    <row r="15" spans="1:21" s="10" customFormat="1" ht="24.95" customHeight="1" x14ac:dyDescent="0.3">
      <c r="A15" s="66" t="s">
        <v>89</v>
      </c>
      <c r="B15" s="31">
        <v>98.2</v>
      </c>
      <c r="C15" s="31">
        <v>103.7</v>
      </c>
      <c r="D15" s="31">
        <v>113</v>
      </c>
      <c r="E15" s="31">
        <v>123.7</v>
      </c>
      <c r="F15" s="31">
        <v>141.4</v>
      </c>
      <c r="G15" s="31">
        <v>150.80000000000001</v>
      </c>
      <c r="H15" s="31">
        <v>159.69999999999999</v>
      </c>
      <c r="I15" s="31">
        <v>165.7</v>
      </c>
      <c r="J15" s="31">
        <v>164.1</v>
      </c>
      <c r="K15" s="31">
        <v>173</v>
      </c>
      <c r="L15" s="26"/>
      <c r="M15" s="26"/>
      <c r="N15" s="26"/>
      <c r="O15" s="26"/>
      <c r="P15" s="26"/>
      <c r="Q15" s="26"/>
      <c r="R15" s="26"/>
      <c r="S15" s="26"/>
      <c r="T15" s="28"/>
      <c r="U15" s="28"/>
    </row>
    <row r="16" spans="1:21" s="10" customFormat="1" ht="24.95" customHeight="1" x14ac:dyDescent="0.3">
      <c r="A16" s="66" t="s">
        <v>88</v>
      </c>
      <c r="B16" s="31">
        <v>70.2</v>
      </c>
      <c r="C16" s="31">
        <v>69.7</v>
      </c>
      <c r="D16" s="31">
        <v>76.3</v>
      </c>
      <c r="E16" s="31">
        <v>84.5</v>
      </c>
      <c r="F16" s="31">
        <v>95.7</v>
      </c>
      <c r="G16" s="31">
        <v>104.6</v>
      </c>
      <c r="H16" s="31">
        <v>115.4</v>
      </c>
      <c r="I16" s="31">
        <v>123.9</v>
      </c>
      <c r="J16" s="31">
        <v>125.8</v>
      </c>
      <c r="K16" s="31">
        <v>139.19999999999999</v>
      </c>
      <c r="L16" s="26"/>
      <c r="M16" s="26"/>
      <c r="N16" s="26"/>
      <c r="O16" s="26"/>
      <c r="P16" s="26"/>
      <c r="Q16" s="26"/>
      <c r="R16" s="26"/>
      <c r="S16" s="26"/>
      <c r="T16" s="28"/>
      <c r="U16" s="28"/>
    </row>
    <row r="17" spans="1:21" s="10" customFormat="1" ht="24.95" customHeight="1" x14ac:dyDescent="0.3">
      <c r="A17" s="66" t="s">
        <v>87</v>
      </c>
      <c r="B17" s="33">
        <v>566.9</v>
      </c>
      <c r="C17" s="33">
        <v>583.20000000000005</v>
      </c>
      <c r="D17" s="33">
        <v>616.6</v>
      </c>
      <c r="E17" s="33">
        <v>646.4</v>
      </c>
      <c r="F17" s="33">
        <v>714</v>
      </c>
      <c r="G17" s="33">
        <v>730.8</v>
      </c>
      <c r="H17" s="33">
        <v>777.4</v>
      </c>
      <c r="I17" s="33">
        <v>785.8</v>
      </c>
      <c r="J17" s="33">
        <v>817.4</v>
      </c>
      <c r="K17" s="33">
        <v>826.5</v>
      </c>
      <c r="L17" s="25"/>
      <c r="M17" s="25"/>
      <c r="N17" s="25"/>
      <c r="O17" s="25"/>
      <c r="P17" s="25"/>
      <c r="Q17" s="25"/>
      <c r="R17" s="25"/>
      <c r="S17" s="25"/>
      <c r="T17" s="25"/>
      <c r="U17" s="27"/>
    </row>
    <row r="18" spans="1:21" s="10" customFormat="1" ht="24.95" customHeight="1" x14ac:dyDescent="0.3">
      <c r="A18" s="66" t="s">
        <v>86</v>
      </c>
      <c r="B18" s="31">
        <v>47.7</v>
      </c>
      <c r="C18" s="31">
        <v>46.9</v>
      </c>
      <c r="D18" s="31">
        <v>47.2</v>
      </c>
      <c r="E18" s="31">
        <v>47.7</v>
      </c>
      <c r="F18" s="31">
        <v>49</v>
      </c>
      <c r="G18" s="31">
        <v>52.6</v>
      </c>
      <c r="H18" s="31">
        <v>50.2</v>
      </c>
      <c r="I18" s="31">
        <v>52.7</v>
      </c>
      <c r="J18" s="31">
        <v>51.2</v>
      </c>
      <c r="K18" s="31">
        <v>49.2</v>
      </c>
      <c r="L18" s="26"/>
      <c r="M18" s="26"/>
      <c r="N18" s="26"/>
      <c r="O18" s="26"/>
      <c r="P18" s="26"/>
      <c r="Q18" s="26"/>
      <c r="R18" s="26"/>
      <c r="S18" s="26"/>
      <c r="T18" s="28"/>
      <c r="U18" s="28"/>
    </row>
    <row r="19" spans="1:21" s="10" customFormat="1" ht="24.95" customHeight="1" x14ac:dyDescent="0.3">
      <c r="A19" s="66" t="s">
        <v>85</v>
      </c>
      <c r="B19" s="35">
        <v>127.7</v>
      </c>
      <c r="C19" s="35">
        <v>133.30000000000001</v>
      </c>
      <c r="D19" s="35">
        <v>143</v>
      </c>
      <c r="E19" s="35">
        <v>154.69999999999999</v>
      </c>
      <c r="F19" s="35">
        <v>167.3</v>
      </c>
      <c r="G19" s="35">
        <v>197.8</v>
      </c>
      <c r="H19" s="35">
        <v>206.5</v>
      </c>
      <c r="I19" s="35">
        <v>222.2</v>
      </c>
      <c r="J19" s="35">
        <v>244.6</v>
      </c>
      <c r="K19" s="35">
        <v>257.89999999999998</v>
      </c>
      <c r="L19" s="26"/>
      <c r="M19" s="26"/>
      <c r="N19" s="26"/>
      <c r="O19" s="26"/>
      <c r="P19" s="26"/>
      <c r="Q19" s="26"/>
      <c r="R19" s="26"/>
      <c r="S19" s="26"/>
      <c r="T19" s="28"/>
      <c r="U19" s="28"/>
    </row>
    <row r="20" spans="1:21" s="10" customFormat="1" ht="24.95" customHeight="1" x14ac:dyDescent="0.3">
      <c r="A20" s="66" t="s">
        <v>84</v>
      </c>
      <c r="B20" s="31">
        <v>433.3</v>
      </c>
      <c r="C20" s="31">
        <v>434.8</v>
      </c>
      <c r="D20" s="31">
        <v>453.3</v>
      </c>
      <c r="E20" s="31">
        <v>465.9</v>
      </c>
      <c r="F20" s="31">
        <v>486.6</v>
      </c>
      <c r="G20" s="31">
        <v>502.9</v>
      </c>
      <c r="H20" s="31">
        <v>532.4</v>
      </c>
      <c r="I20" s="31">
        <v>527.70000000000005</v>
      </c>
      <c r="J20" s="31">
        <v>527.70000000000005</v>
      </c>
      <c r="K20" s="31">
        <v>527.79999999999995</v>
      </c>
      <c r="L20" s="26"/>
      <c r="M20" s="26"/>
      <c r="N20" s="26"/>
      <c r="O20" s="26"/>
      <c r="P20" s="26"/>
      <c r="Q20" s="26"/>
      <c r="R20" s="26"/>
      <c r="S20" s="26"/>
      <c r="T20" s="28"/>
      <c r="U20" s="28"/>
    </row>
    <row r="21" spans="1:21" s="10" customFormat="1" ht="39.950000000000003" customHeight="1" x14ac:dyDescent="0.3">
      <c r="A21" s="67" t="s">
        <v>83</v>
      </c>
      <c r="B21" s="35">
        <v>6.3</v>
      </c>
      <c r="C21" s="31">
        <v>7.1</v>
      </c>
      <c r="D21" s="31">
        <v>8.1</v>
      </c>
      <c r="E21" s="31">
        <v>7.9</v>
      </c>
      <c r="F21" s="34">
        <v>8.9</v>
      </c>
      <c r="G21" s="31">
        <v>10.199999999999999</v>
      </c>
      <c r="H21" s="31">
        <v>11.8</v>
      </c>
      <c r="I21" s="31">
        <v>12.7</v>
      </c>
      <c r="J21" s="31">
        <v>14.1</v>
      </c>
      <c r="K21" s="31">
        <v>14.7</v>
      </c>
      <c r="L21" s="26"/>
      <c r="M21" s="26"/>
      <c r="N21" s="26"/>
      <c r="O21" s="26"/>
      <c r="P21" s="26"/>
      <c r="Q21" s="26"/>
      <c r="R21" s="26"/>
      <c r="S21" s="26"/>
      <c r="T21" s="28"/>
      <c r="U21" s="28"/>
    </row>
    <row r="22" spans="1:21" s="10" customFormat="1" ht="24.95" customHeight="1" x14ac:dyDescent="0.3">
      <c r="A22" s="66" t="s">
        <v>81</v>
      </c>
      <c r="B22" s="35">
        <v>60.1</v>
      </c>
      <c r="C22" s="31">
        <v>63.8</v>
      </c>
      <c r="D22" s="31">
        <v>69.2</v>
      </c>
      <c r="E22" s="31">
        <v>75.3</v>
      </c>
      <c r="F22" s="34">
        <v>83.9</v>
      </c>
      <c r="G22" s="31">
        <v>92.5</v>
      </c>
      <c r="H22" s="31">
        <v>103.3</v>
      </c>
      <c r="I22" s="31">
        <v>110.2</v>
      </c>
      <c r="J22" s="31">
        <v>114</v>
      </c>
      <c r="K22" s="31">
        <v>99.3</v>
      </c>
      <c r="L22" s="26"/>
      <c r="M22" s="26"/>
      <c r="N22" s="26"/>
      <c r="O22" s="26"/>
      <c r="P22" s="26"/>
      <c r="Q22" s="26"/>
      <c r="R22" s="26"/>
      <c r="S22" s="26"/>
      <c r="T22" s="28"/>
      <c r="U22" s="28"/>
    </row>
    <row r="23" spans="1:21" s="10" customFormat="1" ht="24.95" customHeight="1" x14ac:dyDescent="0.2">
      <c r="A23" s="49" t="s">
        <v>93</v>
      </c>
      <c r="B23" s="30">
        <f t="shared" ref="B23:K23" si="1">SUM(B24,B31,B32,B33,B34,B35)</f>
        <v>754</v>
      </c>
      <c r="C23" s="30">
        <f t="shared" si="1"/>
        <v>759.80000000000007</v>
      </c>
      <c r="D23" s="30">
        <f t="shared" si="1"/>
        <v>792.2</v>
      </c>
      <c r="E23" s="30">
        <f t="shared" si="1"/>
        <v>837.09999999999991</v>
      </c>
      <c r="F23" s="30">
        <f t="shared" si="1"/>
        <v>900.1</v>
      </c>
      <c r="G23" s="30">
        <f t="shared" si="1"/>
        <v>950.60000000000014</v>
      </c>
      <c r="H23" s="30">
        <f t="shared" si="1"/>
        <v>1004.8999999999999</v>
      </c>
      <c r="I23" s="30">
        <f t="shared" si="1"/>
        <v>1050.3999999999999</v>
      </c>
      <c r="J23" s="30">
        <f t="shared" si="1"/>
        <v>1085</v>
      </c>
      <c r="K23" s="30">
        <f t="shared" si="1"/>
        <v>1110.0999999999999</v>
      </c>
      <c r="L23" s="25"/>
      <c r="M23" s="25"/>
      <c r="N23" s="25"/>
      <c r="O23" s="25"/>
      <c r="P23" s="25"/>
      <c r="Q23" s="25"/>
      <c r="R23" s="25"/>
      <c r="S23" s="25"/>
      <c r="T23" s="25"/>
      <c r="U23" s="27"/>
    </row>
    <row r="24" spans="1:21" s="10" customFormat="1" ht="24.95" customHeight="1" x14ac:dyDescent="0.3">
      <c r="A24" s="66" t="s">
        <v>92</v>
      </c>
      <c r="B24" s="114">
        <v>491.3</v>
      </c>
      <c r="C24" s="114">
        <v>498.9</v>
      </c>
      <c r="D24" s="114">
        <v>521.5</v>
      </c>
      <c r="E24" s="114">
        <v>554.79999999999995</v>
      </c>
      <c r="F24" s="114">
        <v>604.29999999999995</v>
      </c>
      <c r="G24" s="114">
        <v>637</v>
      </c>
      <c r="H24" s="114">
        <v>675.8</v>
      </c>
      <c r="I24" s="114">
        <v>718.9</v>
      </c>
      <c r="J24" s="114">
        <v>745.5</v>
      </c>
      <c r="K24" s="114">
        <v>765</v>
      </c>
      <c r="L24" s="26"/>
      <c r="M24" s="26"/>
      <c r="N24" s="26"/>
      <c r="O24" s="26"/>
      <c r="P24" s="26"/>
      <c r="Q24" s="26"/>
      <c r="R24" s="26"/>
      <c r="S24" s="26"/>
      <c r="T24" s="28"/>
      <c r="U24" s="28"/>
    </row>
    <row r="25" spans="1:21" s="10" customFormat="1" ht="24.95" customHeight="1" x14ac:dyDescent="0.3">
      <c r="A25" s="66" t="s">
        <v>91</v>
      </c>
      <c r="B25" s="116"/>
      <c r="C25" s="115"/>
      <c r="D25" s="115"/>
      <c r="E25" s="115"/>
      <c r="F25" s="115"/>
      <c r="G25" s="115"/>
      <c r="H25" s="115"/>
      <c r="I25" s="115"/>
      <c r="J25" s="115"/>
      <c r="K25" s="115"/>
      <c r="L25" s="26"/>
      <c r="M25" s="26"/>
      <c r="N25" s="26"/>
      <c r="O25" s="26"/>
      <c r="P25" s="26"/>
      <c r="Q25" s="26"/>
      <c r="R25" s="26"/>
      <c r="S25" s="26"/>
      <c r="T25" s="28"/>
      <c r="U25" s="28"/>
    </row>
    <row r="26" spans="1:21" s="10" customFormat="1" ht="24.95" customHeight="1" x14ac:dyDescent="0.3">
      <c r="A26" s="66" t="s">
        <v>90</v>
      </c>
      <c r="B26" s="116"/>
      <c r="C26" s="115"/>
      <c r="D26" s="115"/>
      <c r="E26" s="115"/>
      <c r="F26" s="115"/>
      <c r="G26" s="115"/>
      <c r="H26" s="115"/>
      <c r="I26" s="115"/>
      <c r="J26" s="115"/>
      <c r="K26" s="115"/>
      <c r="L26" s="26"/>
      <c r="M26" s="26"/>
      <c r="N26" s="26"/>
      <c r="O26" s="26"/>
      <c r="P26" s="26"/>
      <c r="Q26" s="26"/>
      <c r="R26" s="26"/>
      <c r="S26" s="26"/>
      <c r="T26" s="28"/>
      <c r="U26" s="28"/>
    </row>
    <row r="27" spans="1:21" s="10" customFormat="1" ht="24.95" customHeight="1" x14ac:dyDescent="0.3">
      <c r="A27" s="66" t="s">
        <v>89</v>
      </c>
      <c r="B27" s="116"/>
      <c r="C27" s="115"/>
      <c r="D27" s="115"/>
      <c r="E27" s="115"/>
      <c r="F27" s="115"/>
      <c r="G27" s="115"/>
      <c r="H27" s="115"/>
      <c r="I27" s="115"/>
      <c r="J27" s="115"/>
      <c r="K27" s="115"/>
      <c r="L27" s="26"/>
      <c r="M27" s="26"/>
      <c r="N27" s="26"/>
      <c r="O27" s="26"/>
      <c r="P27" s="26"/>
      <c r="Q27" s="26"/>
      <c r="R27" s="26"/>
      <c r="S27" s="26"/>
      <c r="T27" s="28"/>
      <c r="U27" s="28"/>
    </row>
    <row r="28" spans="1:21" s="8" customFormat="1" ht="24.95" customHeight="1" x14ac:dyDescent="0.3">
      <c r="A28" s="66" t="s">
        <v>88</v>
      </c>
      <c r="B28" s="116"/>
      <c r="C28" s="115"/>
      <c r="D28" s="115"/>
      <c r="E28" s="115"/>
      <c r="F28" s="115"/>
      <c r="G28" s="115"/>
      <c r="H28" s="115"/>
      <c r="I28" s="115"/>
      <c r="J28" s="115"/>
      <c r="K28" s="115"/>
      <c r="L28" s="26"/>
      <c r="M28" s="26"/>
      <c r="N28" s="26"/>
      <c r="O28" s="26"/>
      <c r="P28" s="26"/>
      <c r="Q28" s="26"/>
      <c r="R28" s="26"/>
      <c r="S28" s="26"/>
      <c r="T28" s="28"/>
      <c r="U28" s="28"/>
    </row>
    <row r="29" spans="1:21" s="7" customFormat="1" ht="24.95" customHeight="1" x14ac:dyDescent="0.3">
      <c r="A29" s="66" t="s">
        <v>87</v>
      </c>
      <c r="B29" s="116"/>
      <c r="C29" s="115"/>
      <c r="D29" s="115"/>
      <c r="E29" s="115"/>
      <c r="F29" s="115"/>
      <c r="G29" s="115"/>
      <c r="H29" s="115"/>
      <c r="I29" s="115"/>
      <c r="J29" s="115"/>
      <c r="K29" s="115"/>
      <c r="L29" s="25"/>
      <c r="M29" s="25"/>
      <c r="N29" s="25"/>
      <c r="O29" s="25"/>
      <c r="P29" s="25"/>
      <c r="Q29" s="25"/>
      <c r="R29" s="25"/>
      <c r="S29" s="25"/>
      <c r="T29" s="25"/>
      <c r="U29" s="27"/>
    </row>
    <row r="30" spans="1:21" s="7" customFormat="1" ht="24.95" customHeight="1" x14ac:dyDescent="0.2">
      <c r="A30" s="48" t="s">
        <v>77</v>
      </c>
      <c r="B30" s="116"/>
      <c r="C30" s="115"/>
      <c r="D30" s="115"/>
      <c r="E30" s="115"/>
      <c r="F30" s="115"/>
      <c r="G30" s="115"/>
      <c r="H30" s="115"/>
      <c r="I30" s="115"/>
      <c r="J30" s="115"/>
      <c r="K30" s="115"/>
      <c r="L30" s="25"/>
      <c r="M30" s="25"/>
      <c r="N30" s="25"/>
      <c r="O30" s="25"/>
      <c r="P30" s="25"/>
      <c r="Q30" s="25"/>
      <c r="R30" s="25"/>
      <c r="S30" s="25"/>
      <c r="T30" s="25"/>
      <c r="U30" s="27"/>
    </row>
    <row r="31" spans="1:21" s="10" customFormat="1" ht="24.95" customHeight="1" x14ac:dyDescent="0.3">
      <c r="A31" s="66" t="s">
        <v>86</v>
      </c>
      <c r="B31" s="31">
        <v>19.3</v>
      </c>
      <c r="C31" s="31">
        <v>19.399999999999999</v>
      </c>
      <c r="D31" s="31">
        <v>20.2</v>
      </c>
      <c r="E31" s="31">
        <v>21</v>
      </c>
      <c r="F31" s="31">
        <v>22.3</v>
      </c>
      <c r="G31" s="31">
        <v>23.1</v>
      </c>
      <c r="H31" s="31">
        <v>24.6</v>
      </c>
      <c r="I31" s="31">
        <v>26.6</v>
      </c>
      <c r="J31" s="31">
        <v>26.6</v>
      </c>
      <c r="K31" s="31">
        <v>26.5</v>
      </c>
      <c r="L31" s="26"/>
      <c r="M31" s="26"/>
      <c r="N31" s="26"/>
      <c r="O31" s="26"/>
      <c r="P31" s="26"/>
      <c r="Q31" s="26"/>
      <c r="R31" s="26"/>
      <c r="S31" s="26"/>
      <c r="T31" s="28"/>
      <c r="U31" s="28"/>
    </row>
    <row r="32" spans="1:21" s="5" customFormat="1" ht="24.95" customHeight="1" x14ac:dyDescent="0.3">
      <c r="A32" s="66" t="s">
        <v>85</v>
      </c>
      <c r="B32" s="35">
        <v>48.9</v>
      </c>
      <c r="C32" s="35">
        <v>50.2</v>
      </c>
      <c r="D32" s="35">
        <v>53.1</v>
      </c>
      <c r="E32" s="35">
        <v>56.7</v>
      </c>
      <c r="F32" s="35">
        <v>60.6</v>
      </c>
      <c r="G32" s="35">
        <v>69.7</v>
      </c>
      <c r="H32" s="35">
        <v>70.3</v>
      </c>
      <c r="I32" s="35">
        <v>74.5</v>
      </c>
      <c r="J32" s="35">
        <v>81.3</v>
      </c>
      <c r="K32" s="35">
        <v>84.3</v>
      </c>
      <c r="L32" s="26"/>
      <c r="M32" s="26"/>
      <c r="N32" s="26"/>
      <c r="O32" s="26"/>
      <c r="P32" s="26"/>
      <c r="Q32" s="26"/>
      <c r="R32" s="26"/>
      <c r="S32" s="26"/>
      <c r="T32" s="28"/>
      <c r="U32" s="28"/>
    </row>
    <row r="33" spans="1:21" s="5" customFormat="1" ht="24.95" customHeight="1" x14ac:dyDescent="0.3">
      <c r="A33" s="66" t="s">
        <v>84</v>
      </c>
      <c r="B33" s="31">
        <v>178.6</v>
      </c>
      <c r="C33" s="31">
        <v>175.2</v>
      </c>
      <c r="D33" s="31">
        <v>180</v>
      </c>
      <c r="E33" s="31">
        <v>185.9</v>
      </c>
      <c r="F33" s="31">
        <v>193.3</v>
      </c>
      <c r="G33" s="31">
        <v>199.1</v>
      </c>
      <c r="H33" s="31">
        <v>211.2</v>
      </c>
      <c r="I33" s="31">
        <v>205.8</v>
      </c>
      <c r="J33" s="31">
        <v>205.8</v>
      </c>
      <c r="K33" s="31">
        <v>210.1</v>
      </c>
      <c r="L33" s="26"/>
      <c r="M33" s="26"/>
      <c r="N33" s="26"/>
      <c r="O33" s="26"/>
      <c r="P33" s="26"/>
      <c r="Q33" s="26"/>
      <c r="R33" s="26"/>
      <c r="S33" s="26"/>
      <c r="T33" s="28"/>
      <c r="U33" s="28"/>
    </row>
    <row r="34" spans="1:21" s="5" customFormat="1" ht="21.75" customHeight="1" x14ac:dyDescent="0.3">
      <c r="A34" s="68" t="s">
        <v>83</v>
      </c>
      <c r="B34" s="35">
        <v>1.5</v>
      </c>
      <c r="C34" s="31">
        <v>1.6</v>
      </c>
      <c r="D34" s="31">
        <v>1.8</v>
      </c>
      <c r="E34" s="31">
        <v>1.9</v>
      </c>
      <c r="F34" s="31">
        <v>2.2000000000000002</v>
      </c>
      <c r="G34" s="31">
        <v>2.7</v>
      </c>
      <c r="H34" s="31">
        <v>2.9</v>
      </c>
      <c r="I34" s="31">
        <v>3.1</v>
      </c>
      <c r="J34" s="31">
        <v>3.5</v>
      </c>
      <c r="K34" s="31">
        <v>3.8</v>
      </c>
      <c r="L34" s="26"/>
      <c r="M34" s="26"/>
      <c r="N34" s="26"/>
      <c r="O34" s="26"/>
      <c r="P34" s="26"/>
      <c r="Q34" s="26"/>
      <c r="R34" s="26"/>
      <c r="S34" s="26"/>
      <c r="T34" s="28"/>
      <c r="U34" s="28"/>
    </row>
    <row r="35" spans="1:21" s="6" customFormat="1" ht="21" customHeight="1" x14ac:dyDescent="0.2">
      <c r="A35" s="54" t="s">
        <v>81</v>
      </c>
      <c r="B35" s="37">
        <v>14.4</v>
      </c>
      <c r="C35" s="38">
        <v>14.5</v>
      </c>
      <c r="D35" s="38">
        <v>15.6</v>
      </c>
      <c r="E35" s="38">
        <v>16.8</v>
      </c>
      <c r="F35" s="38">
        <v>17.399999999999999</v>
      </c>
      <c r="G35" s="38">
        <v>19</v>
      </c>
      <c r="H35" s="38">
        <v>20.100000000000001</v>
      </c>
      <c r="I35" s="38">
        <v>21.5</v>
      </c>
      <c r="J35" s="38">
        <v>22.3</v>
      </c>
      <c r="K35" s="38">
        <v>20.399999999999999</v>
      </c>
      <c r="L35" s="39"/>
      <c r="M35" s="39"/>
      <c r="N35" s="39"/>
      <c r="O35" s="39"/>
      <c r="P35" s="39"/>
      <c r="Q35" s="39"/>
      <c r="R35" s="39"/>
      <c r="S35" s="39"/>
      <c r="T35" s="40"/>
      <c r="U35" s="40"/>
    </row>
    <row r="36" spans="1:21" ht="20.100000000000001" customHeight="1" x14ac:dyDescent="0.25">
      <c r="A36" s="50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0.100000000000001" customHeight="1" x14ac:dyDescent="0.25">
      <c r="B37" s="22"/>
      <c r="C37" s="1"/>
      <c r="D37" s="21"/>
      <c r="E37" s="21"/>
      <c r="F37" s="3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0.100000000000001" customHeight="1" x14ac:dyDescent="0.25">
      <c r="B38" s="23"/>
      <c r="C38" s="1"/>
      <c r="D38" s="21"/>
      <c r="E38" s="21"/>
      <c r="F38" s="3"/>
      <c r="G38" s="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0.100000000000001" customHeight="1" x14ac:dyDescent="0.25">
      <c r="B39" s="24"/>
      <c r="C39" s="1"/>
      <c r="D39" s="21"/>
      <c r="E39" s="21"/>
      <c r="F39" s="3"/>
      <c r="G39" s="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0.100000000000001" customHeight="1" x14ac:dyDescent="0.25">
      <c r="B40" s="1"/>
      <c r="C40" s="1"/>
      <c r="D40" s="21"/>
      <c r="E40"/>
      <c r="F40" s="3"/>
      <c r="G40" s="4"/>
    </row>
    <row r="41" spans="1:21" ht="20.100000000000001" customHeight="1" x14ac:dyDescent="0.25">
      <c r="B41" s="1"/>
      <c r="C41" s="1"/>
      <c r="D41" s="21"/>
      <c r="E41"/>
      <c r="F41" s="3"/>
      <c r="G41" s="3"/>
    </row>
    <row r="42" spans="1:21" ht="20.100000000000001" customHeight="1" x14ac:dyDescent="0.25">
      <c r="B42" s="1"/>
      <c r="C42" s="1"/>
      <c r="D42" s="21"/>
      <c r="E42"/>
      <c r="F42" s="3"/>
      <c r="G42" s="4"/>
    </row>
    <row r="43" spans="1:21" ht="20.100000000000001" customHeight="1" x14ac:dyDescent="0.25">
      <c r="B43" s="1"/>
      <c r="C43" s="1"/>
      <c r="D43" s="21"/>
      <c r="E43"/>
      <c r="F43" s="3"/>
      <c r="G43" s="4"/>
    </row>
    <row r="44" spans="1:21" ht="20.100000000000001" customHeight="1" x14ac:dyDescent="0.25">
      <c r="B44" s="1"/>
      <c r="C44" s="1"/>
      <c r="D44" s="21"/>
      <c r="E44"/>
      <c r="F44" s="3"/>
      <c r="G44" s="4"/>
    </row>
    <row r="45" spans="1:21" ht="20.100000000000001" customHeight="1" x14ac:dyDescent="0.25">
      <c r="B45" s="1"/>
      <c r="C45" s="1"/>
      <c r="D45" s="21"/>
      <c r="E45"/>
      <c r="F45" s="3"/>
      <c r="G45" s="4"/>
    </row>
    <row r="46" spans="1:21" ht="20.100000000000001" customHeight="1" x14ac:dyDescent="0.25">
      <c r="B46" s="1"/>
      <c r="C46" s="1"/>
      <c r="D46" s="21"/>
      <c r="E46"/>
      <c r="F46" s="3"/>
      <c r="G46" s="4"/>
    </row>
    <row r="47" spans="1:21" ht="20.100000000000001" customHeight="1" x14ac:dyDescent="0.25">
      <c r="B47" s="1"/>
      <c r="C47" s="1"/>
      <c r="D47" s="21"/>
      <c r="E47"/>
      <c r="F47" s="3"/>
      <c r="G47" s="4"/>
    </row>
    <row r="48" spans="1:21" ht="20.100000000000001" customHeight="1" x14ac:dyDescent="0.25">
      <c r="B48" s="1"/>
      <c r="C48" s="1"/>
      <c r="D48" s="21"/>
      <c r="E48"/>
      <c r="F48" s="3"/>
      <c r="G48" s="4"/>
    </row>
    <row r="49" spans="2:7" ht="20.100000000000001" customHeight="1" x14ac:dyDescent="0.25">
      <c r="B49" s="1"/>
      <c r="C49" s="1"/>
      <c r="D49" s="21"/>
      <c r="E49"/>
      <c r="F49" s="3"/>
      <c r="G49" s="4"/>
    </row>
    <row r="50" spans="2:7" ht="20.100000000000001" customHeight="1" x14ac:dyDescent="0.25">
      <c r="B50" s="1"/>
      <c r="C50" s="1"/>
      <c r="D50" s="21"/>
      <c r="E50"/>
      <c r="F50" s="3"/>
      <c r="G50" s="4"/>
    </row>
    <row r="51" spans="2:7" ht="20.100000000000001" customHeight="1" x14ac:dyDescent="0.25">
      <c r="B51" s="1"/>
      <c r="C51" s="1"/>
      <c r="D51" s="21"/>
      <c r="E51"/>
      <c r="F51" s="3"/>
      <c r="G51" s="4"/>
    </row>
    <row r="52" spans="2:7" ht="20.100000000000001" customHeight="1" x14ac:dyDescent="0.25">
      <c r="B52" s="1"/>
      <c r="C52" s="1"/>
      <c r="D52" s="1"/>
      <c r="F52" s="3"/>
      <c r="G52" s="4"/>
    </row>
    <row r="53" spans="2:7" ht="20.100000000000001" customHeight="1" x14ac:dyDescent="0.25">
      <c r="B53" s="1"/>
      <c r="C53" s="1"/>
      <c r="D53" s="1"/>
      <c r="F53" s="3"/>
      <c r="G53" s="4"/>
    </row>
    <row r="54" spans="2:7" ht="20.100000000000001" customHeight="1" x14ac:dyDescent="0.25">
      <c r="F54" s="3"/>
      <c r="G54" s="4"/>
    </row>
    <row r="55" spans="2:7" ht="20.100000000000001" customHeight="1" x14ac:dyDescent="0.25">
      <c r="F55" s="3"/>
      <c r="G55" s="4"/>
    </row>
    <row r="56" spans="2:7" ht="20.100000000000001" customHeight="1" x14ac:dyDescent="0.25">
      <c r="F56" s="3"/>
      <c r="G56" s="4"/>
    </row>
    <row r="57" spans="2:7" ht="20.100000000000001" customHeight="1" x14ac:dyDescent="0.25">
      <c r="F57" s="3"/>
      <c r="G57" s="4"/>
    </row>
    <row r="58" spans="2:7" ht="20.100000000000001" customHeight="1" x14ac:dyDescent="0.25">
      <c r="F58" s="3"/>
      <c r="G58" s="4"/>
    </row>
    <row r="59" spans="2:7" ht="20.100000000000001" customHeight="1" x14ac:dyDescent="0.25">
      <c r="F59" s="3"/>
      <c r="G59" s="4"/>
    </row>
    <row r="60" spans="2:7" ht="20.100000000000001" customHeight="1" x14ac:dyDescent="0.25">
      <c r="F60" s="3"/>
      <c r="G60" s="4"/>
    </row>
    <row r="61" spans="2:7" ht="20.100000000000001" customHeight="1" x14ac:dyDescent="0.25">
      <c r="F61" s="3"/>
      <c r="G61" s="4"/>
    </row>
    <row r="62" spans="2:7" ht="20.100000000000001" customHeight="1" x14ac:dyDescent="0.25">
      <c r="F62" s="3"/>
      <c r="G62" s="4"/>
    </row>
    <row r="63" spans="2:7" ht="20.100000000000001" customHeight="1" x14ac:dyDescent="0.25">
      <c r="F63" s="3"/>
      <c r="G63" s="4"/>
    </row>
    <row r="64" spans="2:7" ht="20.100000000000001" customHeight="1" x14ac:dyDescent="0.25">
      <c r="F64" s="3"/>
      <c r="G64" s="4"/>
    </row>
    <row r="65" spans="6:7" ht="20.100000000000001" customHeight="1" x14ac:dyDescent="0.25">
      <c r="F65" s="3"/>
      <c r="G65" s="4"/>
    </row>
    <row r="66" spans="6:7" ht="20.100000000000001" customHeight="1" x14ac:dyDescent="0.25">
      <c r="F66" s="3"/>
      <c r="G66" s="4"/>
    </row>
    <row r="67" spans="6:7" ht="20.100000000000001" customHeight="1" x14ac:dyDescent="0.25">
      <c r="F67" s="3"/>
      <c r="G67" s="4"/>
    </row>
    <row r="68" spans="6:7" ht="20.100000000000001" customHeight="1" x14ac:dyDescent="0.25">
      <c r="F68" s="3"/>
      <c r="G68" s="4"/>
    </row>
    <row r="69" spans="6:7" ht="20.100000000000001" customHeight="1" x14ac:dyDescent="0.25">
      <c r="F69" s="3"/>
      <c r="G69" s="4"/>
    </row>
    <row r="70" spans="6:7" ht="20.100000000000001" customHeight="1" x14ac:dyDescent="0.25">
      <c r="F70" s="3"/>
      <c r="G70" s="4"/>
    </row>
    <row r="71" spans="6:7" ht="20.100000000000001" customHeight="1" x14ac:dyDescent="0.25">
      <c r="F71" s="3"/>
      <c r="G71" s="4"/>
    </row>
    <row r="72" spans="6:7" ht="20.100000000000001" customHeight="1" x14ac:dyDescent="0.25">
      <c r="F72" s="3"/>
      <c r="G72" s="4"/>
    </row>
    <row r="73" spans="6:7" ht="20.100000000000001" customHeight="1" x14ac:dyDescent="0.25">
      <c r="F73" s="3"/>
      <c r="G73" s="4"/>
    </row>
    <row r="74" spans="6:7" ht="20.100000000000001" customHeight="1" x14ac:dyDescent="0.25">
      <c r="F74" s="3"/>
      <c r="G74" s="4"/>
    </row>
    <row r="75" spans="6:7" ht="20.100000000000001" customHeight="1" x14ac:dyDescent="0.25">
      <c r="F75" s="3"/>
      <c r="G75" s="4"/>
    </row>
    <row r="76" spans="6:7" ht="20.100000000000001" customHeight="1" x14ac:dyDescent="0.25">
      <c r="F76" s="3"/>
      <c r="G76" s="4"/>
    </row>
    <row r="77" spans="6:7" ht="20.100000000000001" customHeight="1" x14ac:dyDescent="0.25">
      <c r="F77" s="3"/>
      <c r="G77" s="4"/>
    </row>
    <row r="78" spans="6:7" ht="20.100000000000001" customHeight="1" x14ac:dyDescent="0.25">
      <c r="F78" s="3"/>
      <c r="G78" s="4"/>
    </row>
    <row r="79" spans="6:7" ht="20.100000000000001" customHeight="1" x14ac:dyDescent="0.25">
      <c r="F79" s="3"/>
      <c r="G79" s="4"/>
    </row>
    <row r="80" spans="6:7" ht="20.100000000000001" customHeight="1" x14ac:dyDescent="0.25">
      <c r="F80" s="3"/>
      <c r="G80" s="4"/>
    </row>
    <row r="81" spans="6:7" ht="20.100000000000001" customHeight="1" x14ac:dyDescent="0.25">
      <c r="F81" s="3"/>
      <c r="G81" s="4"/>
    </row>
    <row r="82" spans="6:7" ht="20.100000000000001" customHeight="1" x14ac:dyDescent="0.25">
      <c r="F82" s="3"/>
      <c r="G82" s="4"/>
    </row>
    <row r="83" spans="6:7" ht="20.100000000000001" customHeight="1" x14ac:dyDescent="0.25">
      <c r="F83" s="3"/>
      <c r="G83" s="4"/>
    </row>
    <row r="84" spans="6:7" ht="20.100000000000001" customHeight="1" x14ac:dyDescent="0.25">
      <c r="F84" s="3"/>
      <c r="G84" s="4"/>
    </row>
    <row r="85" spans="6:7" ht="20.100000000000001" customHeight="1" x14ac:dyDescent="0.25">
      <c r="F85" s="3"/>
      <c r="G85" s="4"/>
    </row>
    <row r="86" spans="6:7" ht="20.100000000000001" customHeight="1" x14ac:dyDescent="0.25">
      <c r="F86" s="3"/>
      <c r="G86" s="4"/>
    </row>
    <row r="87" spans="6:7" ht="20.100000000000001" customHeight="1" x14ac:dyDescent="0.25">
      <c r="F87" s="3"/>
      <c r="G87" s="4"/>
    </row>
    <row r="88" spans="6:7" ht="20.100000000000001" customHeight="1" x14ac:dyDescent="0.25">
      <c r="F88" s="3"/>
      <c r="G88" s="4"/>
    </row>
    <row r="89" spans="6:7" ht="20.100000000000001" customHeight="1" x14ac:dyDescent="0.25">
      <c r="F89" s="3"/>
      <c r="G89" s="4"/>
    </row>
    <row r="90" spans="6:7" ht="20.100000000000001" customHeight="1" x14ac:dyDescent="0.25">
      <c r="F90" s="3"/>
      <c r="G90" s="4"/>
    </row>
    <row r="91" spans="6:7" ht="20.100000000000001" customHeight="1" x14ac:dyDescent="0.25">
      <c r="F91" s="3"/>
      <c r="G91" s="4"/>
    </row>
    <row r="92" spans="6:7" ht="20.100000000000001" customHeight="1" x14ac:dyDescent="0.25">
      <c r="F92" s="3"/>
      <c r="G92" s="4"/>
    </row>
    <row r="93" spans="6:7" ht="20.100000000000001" customHeight="1" x14ac:dyDescent="0.25">
      <c r="F93" s="3"/>
      <c r="G93" s="4"/>
    </row>
    <row r="94" spans="6:7" ht="20.100000000000001" customHeight="1" x14ac:dyDescent="0.25">
      <c r="F94" s="3"/>
      <c r="G94" s="4"/>
    </row>
    <row r="95" spans="6:7" ht="20.100000000000001" customHeight="1" x14ac:dyDescent="0.25">
      <c r="F95" s="3"/>
      <c r="G95" s="4"/>
    </row>
    <row r="96" spans="6:7" ht="20.100000000000001" customHeight="1" x14ac:dyDescent="0.25">
      <c r="F96" s="3"/>
    </row>
    <row r="97" spans="6:6" ht="20.100000000000001" customHeight="1" x14ac:dyDescent="0.25">
      <c r="F97" s="3"/>
    </row>
    <row r="98" spans="6:6" ht="20.100000000000001" customHeight="1" x14ac:dyDescent="0.25">
      <c r="F98" s="3"/>
    </row>
    <row r="99" spans="6:6" ht="20.100000000000001" customHeight="1" x14ac:dyDescent="0.25">
      <c r="F99" s="3"/>
    </row>
    <row r="100" spans="6:6" ht="20.100000000000001" customHeight="1" x14ac:dyDescent="0.25">
      <c r="F100" s="3"/>
    </row>
    <row r="101" spans="6:6" ht="20.100000000000001" customHeight="1" x14ac:dyDescent="0.25">
      <c r="F101" s="3"/>
    </row>
    <row r="102" spans="6:6" ht="20.100000000000001" customHeight="1" x14ac:dyDescent="0.25"/>
    <row r="103" spans="6:6" ht="20.100000000000001" customHeight="1" x14ac:dyDescent="0.25"/>
    <row r="104" spans="6:6" ht="20.100000000000001" customHeight="1" x14ac:dyDescent="0.25"/>
    <row r="105" spans="6:6" ht="20.100000000000001" customHeight="1" x14ac:dyDescent="0.25"/>
    <row r="106" spans="6:6" ht="20.100000000000001" customHeight="1" x14ac:dyDescent="0.25"/>
    <row r="107" spans="6:6" ht="20.100000000000001" customHeight="1" x14ac:dyDescent="0.25"/>
    <row r="108" spans="6:6" ht="20.100000000000001" customHeight="1" x14ac:dyDescent="0.25"/>
    <row r="109" spans="6:6" ht="20.100000000000001" customHeight="1" x14ac:dyDescent="0.25"/>
    <row r="110" spans="6:6" ht="20.100000000000001" customHeight="1" x14ac:dyDescent="0.25"/>
    <row r="111" spans="6:6" ht="20.100000000000001" customHeight="1" x14ac:dyDescent="0.25"/>
    <row r="112" spans="6:6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</sheetData>
  <customSheetViews>
    <customSheetView guid="{4BA530B0-00CD-4136-A5A2-BE4A69A338F8}" showGridLines="0" hiddenRows="1" hiddenColumns="1" topLeftCell="B1">
      <selection activeCell="C16" sqref="C16"/>
      <pageMargins left="0.7" right="0.7" top="0.75" bottom="0.75" header="0.3" footer="0.3"/>
      <pageSetup paperSize="9" orientation="portrait" r:id="rId1"/>
    </customSheetView>
    <customSheetView guid="{7E13D3E2-9E38-4059-9599-2E41C6DC7CAD}" showGridLines="0" hiddenRows="1" hiddenColumns="1">
      <selection activeCell="A17" sqref="A17"/>
      <pageMargins left="0.7" right="0.7" top="0.75" bottom="0.75" header="0.3" footer="0.3"/>
      <pageSetup paperSize="9" orientation="portrait" r:id="rId2"/>
    </customSheetView>
  </customSheetViews>
  <mergeCells count="10">
    <mergeCell ref="H24:H30"/>
    <mergeCell ref="I24:I30"/>
    <mergeCell ref="J24:J30"/>
    <mergeCell ref="K24:K30"/>
    <mergeCell ref="B24:B30"/>
    <mergeCell ref="C24:C30"/>
    <mergeCell ref="D24:D30"/>
    <mergeCell ref="E24:E30"/>
    <mergeCell ref="F24:F30"/>
    <mergeCell ref="G24:G30"/>
  </mergeCell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9CA6A-C28B-4F50-BA38-58618BDB5B9C}">
  <dimension ref="A1:H168"/>
  <sheetViews>
    <sheetView showGridLines="0" zoomScale="75" zoomScaleNormal="75" workbookViewId="0"/>
  </sheetViews>
  <sheetFormatPr defaultColWidth="11.42578125" defaultRowHeight="13.5" x14ac:dyDescent="0.25"/>
  <cols>
    <col min="1" max="1" width="60.7109375" style="1" customWidth="1"/>
    <col min="2" max="4" width="19.7109375" style="2" customWidth="1"/>
    <col min="5" max="6" width="19.7109375" style="1" customWidth="1"/>
    <col min="7" max="8" width="19.7109375" style="2" customWidth="1"/>
    <col min="9" max="16384" width="11.42578125" style="2"/>
  </cols>
  <sheetData>
    <row r="1" spans="1:8" ht="17.25" customHeight="1" x14ac:dyDescent="0.25">
      <c r="A1" s="43" t="s">
        <v>80</v>
      </c>
    </row>
    <row r="2" spans="1:8" s="18" customFormat="1" ht="16.5" x14ac:dyDescent="0.2">
      <c r="A2" s="44" t="s">
        <v>0</v>
      </c>
      <c r="B2" s="15"/>
      <c r="C2" s="16"/>
      <c r="D2" s="16"/>
      <c r="E2" s="16"/>
      <c r="F2" s="16"/>
      <c r="G2" s="16"/>
      <c r="H2" s="16"/>
    </row>
    <row r="3" spans="1:8" s="18" customFormat="1" ht="16.5" x14ac:dyDescent="0.2">
      <c r="A3" s="44" t="s">
        <v>105</v>
      </c>
      <c r="B3" s="15"/>
      <c r="C3" s="16"/>
      <c r="D3" s="16"/>
      <c r="E3" s="16"/>
      <c r="F3" s="16"/>
      <c r="G3" s="16"/>
      <c r="H3" s="16"/>
    </row>
    <row r="4" spans="1:8" s="18" customFormat="1" ht="16.5" x14ac:dyDescent="0.2">
      <c r="A4" s="44" t="s">
        <v>102</v>
      </c>
      <c r="B4" s="15"/>
      <c r="C4" s="16"/>
      <c r="D4" s="16"/>
      <c r="E4" s="16"/>
      <c r="F4" s="16"/>
      <c r="G4" s="16"/>
      <c r="H4" s="16"/>
    </row>
    <row r="5" spans="1:8" s="18" customFormat="1" ht="16.5" x14ac:dyDescent="0.2">
      <c r="A5" s="44" t="s">
        <v>78</v>
      </c>
      <c r="B5" s="15"/>
      <c r="C5" s="16"/>
      <c r="D5" s="16"/>
      <c r="E5" s="16"/>
      <c r="F5" s="16"/>
      <c r="G5" s="16"/>
      <c r="H5" s="16"/>
    </row>
    <row r="6" spans="1:8" s="18" customFormat="1" ht="16.5" x14ac:dyDescent="0.2">
      <c r="A6" s="44" t="s">
        <v>103</v>
      </c>
      <c r="B6" s="15"/>
      <c r="C6" s="16"/>
      <c r="D6" s="16"/>
      <c r="E6" s="16"/>
      <c r="F6" s="16"/>
      <c r="G6" s="16"/>
      <c r="H6" s="16"/>
    </row>
    <row r="7" spans="1:8" s="18" customFormat="1" ht="16.5" x14ac:dyDescent="0.2">
      <c r="A7" s="44" t="s">
        <v>104</v>
      </c>
      <c r="B7" s="15"/>
      <c r="C7" s="16"/>
      <c r="D7" s="16"/>
      <c r="E7" s="16"/>
      <c r="F7" s="16"/>
      <c r="G7" s="16"/>
      <c r="H7" s="16"/>
    </row>
    <row r="8" spans="1:8" s="18" customFormat="1" ht="16.5" x14ac:dyDescent="0.2">
      <c r="A8" s="44" t="s">
        <v>67</v>
      </c>
      <c r="B8" s="15"/>
      <c r="C8" s="16"/>
      <c r="D8" s="16"/>
      <c r="E8" s="16"/>
      <c r="F8" s="16"/>
      <c r="G8" s="16"/>
      <c r="H8" s="16"/>
    </row>
    <row r="9" spans="1:8" ht="15" customHeight="1" x14ac:dyDescent="0.25">
      <c r="B9" s="11"/>
      <c r="C9" s="19"/>
      <c r="D9" s="20"/>
    </row>
    <row r="10" spans="1:8" ht="18.75" thickBot="1" x14ac:dyDescent="0.3">
      <c r="A10" s="51"/>
      <c r="B10" s="13" t="s">
        <v>40</v>
      </c>
      <c r="C10" s="13" t="s">
        <v>3</v>
      </c>
      <c r="D10" s="13" t="s">
        <v>4</v>
      </c>
      <c r="E10" s="13" t="s">
        <v>5</v>
      </c>
      <c r="F10" s="13" t="s">
        <v>6</v>
      </c>
      <c r="G10" s="13" t="s">
        <v>7</v>
      </c>
      <c r="H10" s="13" t="s">
        <v>8</v>
      </c>
    </row>
    <row r="11" spans="1:8" s="10" customFormat="1" ht="24.95" customHeight="1" x14ac:dyDescent="0.2">
      <c r="A11" s="69" t="s">
        <v>71</v>
      </c>
      <c r="B11" s="56">
        <f t="shared" ref="B11:H11" si="0">SUM(B12:B23)</f>
        <v>5093.8999999999996</v>
      </c>
      <c r="C11" s="56">
        <f t="shared" si="0"/>
        <v>5370.7999999999993</v>
      </c>
      <c r="D11" s="56">
        <f t="shared" si="0"/>
        <v>5542.9999999999991</v>
      </c>
      <c r="E11" s="56">
        <f t="shared" si="0"/>
        <v>5765.8</v>
      </c>
      <c r="F11" s="56">
        <f t="shared" si="0"/>
        <v>5999.3</v>
      </c>
      <c r="G11" s="56">
        <f t="shared" si="0"/>
        <v>6173.9</v>
      </c>
      <c r="H11" s="56">
        <f t="shared" si="0"/>
        <v>6565.3</v>
      </c>
    </row>
    <row r="12" spans="1:8" s="10" customFormat="1" ht="24.95" customHeight="1" x14ac:dyDescent="0.3">
      <c r="A12" s="70" t="s">
        <v>92</v>
      </c>
      <c r="B12" s="58">
        <v>1556</v>
      </c>
      <c r="C12" s="58">
        <v>1636.8</v>
      </c>
      <c r="D12" s="58">
        <v>1678.4</v>
      </c>
      <c r="E12" s="58">
        <v>1764.8</v>
      </c>
      <c r="F12" s="58">
        <v>1844.7</v>
      </c>
      <c r="G12" s="58">
        <v>1943.3</v>
      </c>
      <c r="H12" s="58">
        <v>2034.9</v>
      </c>
    </row>
    <row r="13" spans="1:8" s="10" customFormat="1" ht="24.95" customHeight="1" x14ac:dyDescent="0.3">
      <c r="A13" s="70" t="s">
        <v>91</v>
      </c>
      <c r="B13" s="59">
        <v>1377.9</v>
      </c>
      <c r="C13" s="59">
        <v>1450.8</v>
      </c>
      <c r="D13" s="59">
        <v>1536.8</v>
      </c>
      <c r="E13" s="59">
        <v>1626.2</v>
      </c>
      <c r="F13" s="59">
        <v>1738.7</v>
      </c>
      <c r="G13" s="59">
        <v>1758.5</v>
      </c>
      <c r="H13" s="59">
        <v>2000.9</v>
      </c>
    </row>
    <row r="14" spans="1:8" s="10" customFormat="1" ht="24.95" customHeight="1" x14ac:dyDescent="0.3">
      <c r="A14" s="70" t="s">
        <v>90</v>
      </c>
      <c r="B14" s="59">
        <v>29.7</v>
      </c>
      <c r="C14" s="59">
        <v>30.3</v>
      </c>
      <c r="D14" s="59">
        <v>30.6</v>
      </c>
      <c r="E14" s="59">
        <v>31.6</v>
      </c>
      <c r="F14" s="59">
        <v>32.6</v>
      </c>
      <c r="G14" s="59">
        <v>33.700000000000003</v>
      </c>
      <c r="H14" s="59">
        <v>34.200000000000003</v>
      </c>
    </row>
    <row r="15" spans="1:8" s="10" customFormat="1" ht="24.95" customHeight="1" x14ac:dyDescent="0.3">
      <c r="A15" s="70" t="s">
        <v>88</v>
      </c>
      <c r="B15" s="59">
        <v>140.1</v>
      </c>
      <c r="C15" s="59">
        <v>146.6</v>
      </c>
      <c r="D15" s="59">
        <v>156</v>
      </c>
      <c r="E15" s="59">
        <v>173.8</v>
      </c>
      <c r="F15" s="59">
        <v>177.5</v>
      </c>
      <c r="G15" s="59">
        <v>184</v>
      </c>
      <c r="H15" s="59">
        <v>216.4</v>
      </c>
    </row>
    <row r="16" spans="1:8" s="10" customFormat="1" ht="24.95" customHeight="1" x14ac:dyDescent="0.2">
      <c r="A16" s="70" t="s">
        <v>94</v>
      </c>
      <c r="B16" s="60">
        <v>831.7</v>
      </c>
      <c r="C16" s="60">
        <v>834.7</v>
      </c>
      <c r="D16" s="60">
        <v>832.3</v>
      </c>
      <c r="E16" s="60">
        <v>844.4</v>
      </c>
      <c r="F16" s="60">
        <v>852.7</v>
      </c>
      <c r="G16" s="60">
        <v>868.8</v>
      </c>
      <c r="H16" s="60">
        <v>881.8</v>
      </c>
    </row>
    <row r="17" spans="1:8" s="10" customFormat="1" ht="24.95" customHeight="1" x14ac:dyDescent="0.2">
      <c r="A17" s="70" t="s">
        <v>95</v>
      </c>
      <c r="B17" s="71" t="s">
        <v>26</v>
      </c>
      <c r="C17" s="71" t="s">
        <v>26</v>
      </c>
      <c r="D17" s="71" t="s">
        <v>26</v>
      </c>
      <c r="E17" s="71" t="s">
        <v>26</v>
      </c>
      <c r="F17" s="71">
        <v>3.9</v>
      </c>
      <c r="G17" s="71">
        <v>25.8</v>
      </c>
      <c r="H17" s="71">
        <v>39.299999999999997</v>
      </c>
    </row>
    <row r="18" spans="1:8" s="10" customFormat="1" ht="24.95" customHeight="1" x14ac:dyDescent="0.2">
      <c r="A18" s="70" t="s">
        <v>89</v>
      </c>
      <c r="B18" s="60">
        <v>175.8</v>
      </c>
      <c r="C18" s="60">
        <v>247</v>
      </c>
      <c r="D18" s="60">
        <v>281.60000000000002</v>
      </c>
      <c r="E18" s="60">
        <v>282.39999999999998</v>
      </c>
      <c r="F18" s="60">
        <v>281.2</v>
      </c>
      <c r="G18" s="60">
        <v>274.7</v>
      </c>
      <c r="H18" s="60">
        <v>272.2</v>
      </c>
    </row>
    <row r="19" spans="1:8" s="10" customFormat="1" ht="24.95" customHeight="1" x14ac:dyDescent="0.3">
      <c r="A19" s="70" t="s">
        <v>86</v>
      </c>
      <c r="B19" s="59">
        <v>47.4</v>
      </c>
      <c r="C19" s="59">
        <v>45.9</v>
      </c>
      <c r="D19" s="59">
        <v>44.2</v>
      </c>
      <c r="E19" s="59">
        <v>42.5</v>
      </c>
      <c r="F19" s="59">
        <v>41.3</v>
      </c>
      <c r="G19" s="59">
        <v>39.9</v>
      </c>
      <c r="H19" s="59">
        <v>38.299999999999997</v>
      </c>
    </row>
    <row r="20" spans="1:8" s="10" customFormat="1" ht="24.95" customHeight="1" x14ac:dyDescent="0.3">
      <c r="A20" s="70" t="s">
        <v>85</v>
      </c>
      <c r="B20" s="61">
        <v>296.60000000000002</v>
      </c>
      <c r="C20" s="61">
        <v>339.7</v>
      </c>
      <c r="D20" s="61">
        <v>356.1</v>
      </c>
      <c r="E20" s="61">
        <v>378.3</v>
      </c>
      <c r="F20" s="61">
        <v>401.3</v>
      </c>
      <c r="G20" s="61">
        <v>418.1</v>
      </c>
      <c r="H20" s="61">
        <v>445</v>
      </c>
    </row>
    <row r="21" spans="1:8" s="10" customFormat="1" ht="35.1" customHeight="1" x14ac:dyDescent="0.3">
      <c r="A21" s="72" t="s">
        <v>84</v>
      </c>
      <c r="B21" s="59">
        <v>520.70000000000005</v>
      </c>
      <c r="C21" s="59">
        <v>514.9</v>
      </c>
      <c r="D21" s="59">
        <v>506.2</v>
      </c>
      <c r="E21" s="59">
        <v>504.1</v>
      </c>
      <c r="F21" s="59">
        <v>508.6</v>
      </c>
      <c r="G21" s="59">
        <v>512.4</v>
      </c>
      <c r="H21" s="59">
        <v>515.9</v>
      </c>
    </row>
    <row r="22" spans="1:8" s="45" customFormat="1" ht="35.1" customHeight="1" x14ac:dyDescent="0.2">
      <c r="A22" s="72" t="s">
        <v>83</v>
      </c>
      <c r="B22" s="73">
        <v>15.3</v>
      </c>
      <c r="C22" s="74">
        <v>16.3</v>
      </c>
      <c r="D22" s="74">
        <v>16.899999999999999</v>
      </c>
      <c r="E22" s="74">
        <v>18.899999999999999</v>
      </c>
      <c r="F22" s="75">
        <v>19.8</v>
      </c>
      <c r="G22" s="74">
        <v>18.8</v>
      </c>
      <c r="H22" s="74">
        <v>21.3</v>
      </c>
    </row>
    <row r="23" spans="1:8" s="10" customFormat="1" ht="24.95" customHeight="1" x14ac:dyDescent="0.3">
      <c r="A23" s="70" t="s">
        <v>96</v>
      </c>
      <c r="B23" s="61">
        <v>102.7</v>
      </c>
      <c r="C23" s="59">
        <v>107.8</v>
      </c>
      <c r="D23" s="59">
        <v>103.9</v>
      </c>
      <c r="E23" s="59">
        <v>98.8</v>
      </c>
      <c r="F23" s="62">
        <v>97</v>
      </c>
      <c r="G23" s="59">
        <v>95.9</v>
      </c>
      <c r="H23" s="59">
        <v>65.099999999999994</v>
      </c>
    </row>
    <row r="24" spans="1:8" s="10" customFormat="1" ht="24.95" customHeight="1" x14ac:dyDescent="0.2">
      <c r="A24" s="76" t="s">
        <v>72</v>
      </c>
      <c r="B24" s="64">
        <f t="shared" ref="B24:H24" si="1">SUM(B25:B36)</f>
        <v>1139.8</v>
      </c>
      <c r="C24" s="64">
        <f t="shared" si="1"/>
        <v>1168.3999999999999</v>
      </c>
      <c r="D24" s="64">
        <f t="shared" si="1"/>
        <v>1199.3000000000002</v>
      </c>
      <c r="E24" s="64">
        <f t="shared" si="1"/>
        <v>1216.8</v>
      </c>
      <c r="F24" s="64">
        <f t="shared" si="1"/>
        <v>1255.1999999999998</v>
      </c>
      <c r="G24" s="64">
        <f t="shared" si="1"/>
        <v>1287.1000000000001</v>
      </c>
      <c r="H24" s="64">
        <f t="shared" si="1"/>
        <v>1316</v>
      </c>
    </row>
    <row r="25" spans="1:8" s="10" customFormat="1" ht="24.95" customHeight="1" x14ac:dyDescent="0.2">
      <c r="A25" s="70" t="s">
        <v>92</v>
      </c>
      <c r="B25" s="117">
        <v>787.7</v>
      </c>
      <c r="C25" s="117">
        <v>807.4</v>
      </c>
      <c r="D25" s="117">
        <v>833</v>
      </c>
      <c r="E25" s="117">
        <v>850</v>
      </c>
      <c r="F25" s="117">
        <v>877.8</v>
      </c>
      <c r="G25" s="117">
        <v>914.7</v>
      </c>
      <c r="H25" s="117">
        <v>944.8</v>
      </c>
    </row>
    <row r="26" spans="1:8" s="10" customFormat="1" ht="24.95" customHeight="1" x14ac:dyDescent="0.2">
      <c r="A26" s="70" t="s">
        <v>91</v>
      </c>
      <c r="B26" s="110"/>
      <c r="C26" s="110"/>
      <c r="D26" s="110"/>
      <c r="E26" s="110"/>
      <c r="F26" s="110"/>
      <c r="G26" s="110"/>
      <c r="H26" s="110"/>
    </row>
    <row r="27" spans="1:8" s="10" customFormat="1" ht="24.95" customHeight="1" x14ac:dyDescent="0.2">
      <c r="A27" s="70" t="s">
        <v>90</v>
      </c>
      <c r="B27" s="110"/>
      <c r="C27" s="110"/>
      <c r="D27" s="110"/>
      <c r="E27" s="110"/>
      <c r="F27" s="110"/>
      <c r="G27" s="110"/>
      <c r="H27" s="110"/>
    </row>
    <row r="28" spans="1:8" s="10" customFormat="1" ht="24.95" customHeight="1" x14ac:dyDescent="0.2">
      <c r="A28" s="70" t="s">
        <v>88</v>
      </c>
      <c r="B28" s="110"/>
      <c r="C28" s="110"/>
      <c r="D28" s="110"/>
      <c r="E28" s="110"/>
      <c r="F28" s="110"/>
      <c r="G28" s="110"/>
      <c r="H28" s="110"/>
    </row>
    <row r="29" spans="1:8" s="8" customFormat="1" ht="24.95" customHeight="1" x14ac:dyDescent="0.2">
      <c r="A29" s="70" t="s">
        <v>94</v>
      </c>
      <c r="B29" s="110"/>
      <c r="C29" s="110"/>
      <c r="D29" s="110"/>
      <c r="E29" s="110"/>
      <c r="F29" s="110"/>
      <c r="G29" s="110"/>
      <c r="H29" s="110"/>
    </row>
    <row r="30" spans="1:8" s="7" customFormat="1" ht="24.95" customHeight="1" x14ac:dyDescent="0.2">
      <c r="A30" s="70" t="s">
        <v>95</v>
      </c>
      <c r="B30" s="110"/>
      <c r="C30" s="110"/>
      <c r="D30" s="110"/>
      <c r="E30" s="110"/>
      <c r="F30" s="110"/>
      <c r="G30" s="110"/>
      <c r="H30" s="110"/>
    </row>
    <row r="31" spans="1:8" s="7" customFormat="1" ht="24.95" customHeight="1" x14ac:dyDescent="0.2">
      <c r="A31" s="70" t="s">
        <v>89</v>
      </c>
      <c r="B31" s="110"/>
      <c r="C31" s="110"/>
      <c r="D31" s="110"/>
      <c r="E31" s="110"/>
      <c r="F31" s="110"/>
      <c r="G31" s="110"/>
      <c r="H31" s="110"/>
    </row>
    <row r="32" spans="1:8" s="10" customFormat="1" ht="24.95" customHeight="1" x14ac:dyDescent="0.3">
      <c r="A32" s="70" t="s">
        <v>86</v>
      </c>
      <c r="B32" s="59">
        <v>26.6</v>
      </c>
      <c r="C32" s="59">
        <v>26.8</v>
      </c>
      <c r="D32" s="59">
        <v>27.2</v>
      </c>
      <c r="E32" s="59">
        <v>27.6</v>
      </c>
      <c r="F32" s="59">
        <v>28.3</v>
      </c>
      <c r="G32" s="59">
        <v>28.6</v>
      </c>
      <c r="H32" s="59">
        <v>29.2</v>
      </c>
    </row>
    <row r="33" spans="1:8" s="5" customFormat="1" ht="24.95" customHeight="1" x14ac:dyDescent="0.3">
      <c r="A33" s="70" t="s">
        <v>85</v>
      </c>
      <c r="B33" s="61">
        <v>91.4</v>
      </c>
      <c r="C33" s="61">
        <v>98.2</v>
      </c>
      <c r="D33" s="61">
        <v>102</v>
      </c>
      <c r="E33" s="61">
        <v>104.3</v>
      </c>
      <c r="F33" s="61">
        <v>107.4</v>
      </c>
      <c r="G33" s="61">
        <v>98.8</v>
      </c>
      <c r="H33" s="61">
        <v>99</v>
      </c>
    </row>
    <row r="34" spans="1:8" s="5" customFormat="1" ht="30" customHeight="1" x14ac:dyDescent="0.3">
      <c r="A34" s="72" t="s">
        <v>84</v>
      </c>
      <c r="B34" s="59">
        <v>209.5</v>
      </c>
      <c r="C34" s="59">
        <v>210.4</v>
      </c>
      <c r="D34" s="59">
        <v>210.8</v>
      </c>
      <c r="E34" s="59">
        <v>214</v>
      </c>
      <c r="F34" s="59">
        <v>218.8</v>
      </c>
      <c r="G34" s="59">
        <v>223</v>
      </c>
      <c r="H34" s="59">
        <v>225.8</v>
      </c>
    </row>
    <row r="35" spans="1:8" s="5" customFormat="1" ht="35.1" customHeight="1" x14ac:dyDescent="0.3">
      <c r="A35" s="72" t="s">
        <v>83</v>
      </c>
      <c r="B35" s="61">
        <v>4</v>
      </c>
      <c r="C35" s="59">
        <v>4.3</v>
      </c>
      <c r="D35" s="59">
        <v>4.4000000000000004</v>
      </c>
      <c r="E35" s="59">
        <v>4.5999999999999996</v>
      </c>
      <c r="F35" s="59">
        <v>4.8</v>
      </c>
      <c r="G35" s="59">
        <v>5</v>
      </c>
      <c r="H35" s="59">
        <v>5.3</v>
      </c>
    </row>
    <row r="36" spans="1:8" s="6" customFormat="1" ht="30" customHeight="1" thickBot="1" x14ac:dyDescent="0.25">
      <c r="A36" s="72" t="s">
        <v>96</v>
      </c>
      <c r="B36" s="77">
        <v>20.6</v>
      </c>
      <c r="C36" s="78">
        <v>21.3</v>
      </c>
      <c r="D36" s="78">
        <v>21.9</v>
      </c>
      <c r="E36" s="78">
        <v>16.3</v>
      </c>
      <c r="F36" s="78">
        <v>18.100000000000001</v>
      </c>
      <c r="G36" s="78">
        <v>17</v>
      </c>
      <c r="H36" s="78">
        <v>11.9</v>
      </c>
    </row>
    <row r="37" spans="1:8" ht="20.100000000000001" customHeight="1" x14ac:dyDescent="0.25">
      <c r="A37" s="79" t="s">
        <v>79</v>
      </c>
      <c r="B37" s="80">
        <f>SUM(B11,B24)</f>
        <v>6233.7</v>
      </c>
      <c r="C37" s="80">
        <f t="shared" ref="C37:H37" si="2">SUM(C11,C24)</f>
        <v>6539.1999999999989</v>
      </c>
      <c r="D37" s="80">
        <f t="shared" si="2"/>
        <v>6742.2999999999993</v>
      </c>
      <c r="E37" s="80">
        <f t="shared" si="2"/>
        <v>6982.6</v>
      </c>
      <c r="F37" s="80">
        <f t="shared" si="2"/>
        <v>7254.5</v>
      </c>
      <c r="G37" s="80">
        <f t="shared" si="2"/>
        <v>7461</v>
      </c>
      <c r="H37" s="80">
        <f t="shared" si="2"/>
        <v>7881.3</v>
      </c>
    </row>
    <row r="38" spans="1:8" ht="20.100000000000001" customHeight="1" x14ac:dyDescent="0.25">
      <c r="A38" s="52"/>
      <c r="B38" s="22"/>
      <c r="C38" s="1"/>
      <c r="D38" s="21"/>
      <c r="E38" s="21"/>
      <c r="F38" s="3"/>
      <c r="G38" s="3"/>
      <c r="H38" s="1"/>
    </row>
    <row r="39" spans="1:8" ht="20.100000000000001" customHeight="1" x14ac:dyDescent="0.25">
      <c r="B39" s="23"/>
      <c r="C39" s="1"/>
      <c r="D39" s="21"/>
      <c r="E39" s="21"/>
      <c r="F39" s="3"/>
      <c r="G39" s="3"/>
      <c r="H39" s="1"/>
    </row>
    <row r="40" spans="1:8" ht="20.100000000000001" customHeight="1" x14ac:dyDescent="0.25">
      <c r="B40" s="24"/>
      <c r="C40" s="1"/>
      <c r="D40" s="21"/>
      <c r="E40" s="21"/>
      <c r="F40" s="3"/>
      <c r="G40" s="3"/>
      <c r="H40" s="1"/>
    </row>
    <row r="41" spans="1:8" ht="20.100000000000001" customHeight="1" x14ac:dyDescent="0.25">
      <c r="B41" s="1"/>
      <c r="C41" s="1"/>
      <c r="D41" s="21"/>
      <c r="E41"/>
      <c r="F41" s="3"/>
      <c r="G41" s="4"/>
    </row>
    <row r="42" spans="1:8" ht="20.100000000000001" customHeight="1" x14ac:dyDescent="0.25">
      <c r="B42" s="1"/>
      <c r="C42" s="1"/>
      <c r="D42" s="21"/>
      <c r="E42"/>
      <c r="F42" s="3"/>
      <c r="G42" s="3"/>
    </row>
    <row r="43" spans="1:8" ht="20.100000000000001" customHeight="1" x14ac:dyDescent="0.25">
      <c r="B43" s="1"/>
      <c r="C43" s="1"/>
      <c r="D43" s="21"/>
      <c r="E43"/>
      <c r="F43" s="3"/>
      <c r="G43" s="4"/>
    </row>
    <row r="44" spans="1:8" ht="20.100000000000001" customHeight="1" x14ac:dyDescent="0.25">
      <c r="B44" s="1"/>
      <c r="C44" s="1"/>
      <c r="D44" s="21"/>
      <c r="E44"/>
      <c r="F44" s="3"/>
      <c r="G44" s="4"/>
    </row>
    <row r="45" spans="1:8" ht="20.100000000000001" customHeight="1" x14ac:dyDescent="0.25">
      <c r="B45" s="1"/>
      <c r="C45" s="1"/>
      <c r="D45" s="21"/>
      <c r="E45"/>
      <c r="F45" s="3"/>
      <c r="G45" s="4"/>
    </row>
    <row r="46" spans="1:8" ht="20.100000000000001" customHeight="1" x14ac:dyDescent="0.25">
      <c r="B46" s="1"/>
      <c r="C46" s="1"/>
      <c r="D46" s="21"/>
      <c r="E46"/>
      <c r="F46" s="3"/>
      <c r="G46" s="4"/>
    </row>
    <row r="47" spans="1:8" ht="20.100000000000001" customHeight="1" x14ac:dyDescent="0.25">
      <c r="B47" s="1"/>
      <c r="C47" s="1"/>
      <c r="D47" s="21"/>
      <c r="E47"/>
      <c r="F47" s="3"/>
      <c r="G47" s="4"/>
    </row>
    <row r="48" spans="1:8" ht="20.100000000000001" customHeight="1" x14ac:dyDescent="0.25">
      <c r="B48" s="1"/>
      <c r="C48" s="1"/>
      <c r="D48" s="21"/>
      <c r="E48"/>
      <c r="F48" s="3"/>
      <c r="G48" s="4"/>
    </row>
    <row r="49" spans="2:7" ht="20.100000000000001" customHeight="1" x14ac:dyDescent="0.25">
      <c r="B49" s="1"/>
      <c r="C49" s="1"/>
      <c r="D49" s="21"/>
      <c r="E49"/>
      <c r="F49" s="3"/>
      <c r="G49" s="4"/>
    </row>
    <row r="50" spans="2:7" ht="20.100000000000001" customHeight="1" x14ac:dyDescent="0.25">
      <c r="B50" s="1"/>
      <c r="C50" s="1"/>
      <c r="D50" s="21"/>
      <c r="E50"/>
      <c r="F50" s="3"/>
      <c r="G50" s="4"/>
    </row>
    <row r="51" spans="2:7" ht="20.100000000000001" customHeight="1" x14ac:dyDescent="0.25">
      <c r="B51" s="1"/>
      <c r="C51" s="1"/>
      <c r="D51" s="21"/>
      <c r="E51"/>
      <c r="F51" s="3"/>
      <c r="G51" s="4"/>
    </row>
    <row r="52" spans="2:7" ht="20.100000000000001" customHeight="1" x14ac:dyDescent="0.25">
      <c r="B52" s="1"/>
      <c r="C52" s="1"/>
      <c r="D52" s="21"/>
      <c r="E52"/>
      <c r="F52" s="3"/>
      <c r="G52" s="4"/>
    </row>
    <row r="53" spans="2:7" ht="20.100000000000001" customHeight="1" x14ac:dyDescent="0.25">
      <c r="B53" s="1"/>
      <c r="C53" s="1"/>
      <c r="D53" s="1"/>
      <c r="F53" s="3"/>
      <c r="G53" s="4"/>
    </row>
    <row r="54" spans="2:7" ht="20.100000000000001" customHeight="1" x14ac:dyDescent="0.25">
      <c r="B54" s="1"/>
      <c r="C54" s="1"/>
      <c r="D54" s="1"/>
      <c r="F54" s="3"/>
      <c r="G54" s="4"/>
    </row>
    <row r="55" spans="2:7" ht="20.100000000000001" customHeight="1" x14ac:dyDescent="0.25">
      <c r="F55" s="3"/>
      <c r="G55" s="4"/>
    </row>
    <row r="56" spans="2:7" ht="20.100000000000001" customHeight="1" x14ac:dyDescent="0.25">
      <c r="F56" s="3"/>
      <c r="G56" s="4"/>
    </row>
    <row r="57" spans="2:7" ht="20.100000000000001" customHeight="1" x14ac:dyDescent="0.25">
      <c r="F57" s="3"/>
      <c r="G57" s="4"/>
    </row>
    <row r="58" spans="2:7" ht="20.100000000000001" customHeight="1" x14ac:dyDescent="0.25">
      <c r="F58" s="3"/>
      <c r="G58" s="4"/>
    </row>
    <row r="59" spans="2:7" ht="20.100000000000001" customHeight="1" x14ac:dyDescent="0.25">
      <c r="F59" s="3"/>
      <c r="G59" s="4"/>
    </row>
    <row r="60" spans="2:7" ht="20.100000000000001" customHeight="1" x14ac:dyDescent="0.25">
      <c r="F60" s="3"/>
      <c r="G60" s="4"/>
    </row>
    <row r="61" spans="2:7" ht="20.100000000000001" customHeight="1" x14ac:dyDescent="0.25">
      <c r="F61" s="3"/>
      <c r="G61" s="4"/>
    </row>
    <row r="62" spans="2:7" ht="20.100000000000001" customHeight="1" x14ac:dyDescent="0.25">
      <c r="F62" s="3"/>
      <c r="G62" s="4"/>
    </row>
    <row r="63" spans="2:7" ht="20.100000000000001" customHeight="1" x14ac:dyDescent="0.25">
      <c r="F63" s="3"/>
      <c r="G63" s="4"/>
    </row>
    <row r="64" spans="2:7" ht="20.100000000000001" customHeight="1" x14ac:dyDescent="0.25">
      <c r="F64" s="3"/>
      <c r="G64" s="4"/>
    </row>
    <row r="65" spans="6:7" ht="20.100000000000001" customHeight="1" x14ac:dyDescent="0.25">
      <c r="F65" s="3"/>
      <c r="G65" s="4"/>
    </row>
    <row r="66" spans="6:7" ht="20.100000000000001" customHeight="1" x14ac:dyDescent="0.25">
      <c r="F66" s="3"/>
      <c r="G66" s="4"/>
    </row>
    <row r="67" spans="6:7" ht="20.100000000000001" customHeight="1" x14ac:dyDescent="0.25">
      <c r="F67" s="3"/>
      <c r="G67" s="4"/>
    </row>
    <row r="68" spans="6:7" ht="20.100000000000001" customHeight="1" x14ac:dyDescent="0.25">
      <c r="F68" s="3"/>
      <c r="G68" s="4"/>
    </row>
    <row r="69" spans="6:7" ht="20.100000000000001" customHeight="1" x14ac:dyDescent="0.25">
      <c r="F69" s="3"/>
      <c r="G69" s="4"/>
    </row>
    <row r="70" spans="6:7" ht="20.100000000000001" customHeight="1" x14ac:dyDescent="0.25">
      <c r="F70" s="3"/>
      <c r="G70" s="4"/>
    </row>
    <row r="71" spans="6:7" ht="20.100000000000001" customHeight="1" x14ac:dyDescent="0.25">
      <c r="F71" s="3"/>
      <c r="G71" s="4"/>
    </row>
    <row r="72" spans="6:7" ht="20.100000000000001" customHeight="1" x14ac:dyDescent="0.25">
      <c r="F72" s="3"/>
      <c r="G72" s="4"/>
    </row>
    <row r="73" spans="6:7" ht="20.100000000000001" customHeight="1" x14ac:dyDescent="0.25">
      <c r="F73" s="3"/>
      <c r="G73" s="4"/>
    </row>
    <row r="74" spans="6:7" ht="20.100000000000001" customHeight="1" x14ac:dyDescent="0.25">
      <c r="F74" s="3"/>
      <c r="G74" s="4"/>
    </row>
    <row r="75" spans="6:7" ht="20.100000000000001" customHeight="1" x14ac:dyDescent="0.25">
      <c r="F75" s="3"/>
      <c r="G75" s="4"/>
    </row>
    <row r="76" spans="6:7" ht="20.100000000000001" customHeight="1" x14ac:dyDescent="0.25">
      <c r="F76" s="3"/>
      <c r="G76" s="4"/>
    </row>
    <row r="77" spans="6:7" ht="20.100000000000001" customHeight="1" x14ac:dyDescent="0.25">
      <c r="F77" s="3"/>
      <c r="G77" s="4"/>
    </row>
    <row r="78" spans="6:7" ht="20.100000000000001" customHeight="1" x14ac:dyDescent="0.25">
      <c r="F78" s="3"/>
      <c r="G78" s="4"/>
    </row>
    <row r="79" spans="6:7" ht="20.100000000000001" customHeight="1" x14ac:dyDescent="0.25">
      <c r="F79" s="3"/>
      <c r="G79" s="4"/>
    </row>
    <row r="80" spans="6:7" ht="20.100000000000001" customHeight="1" x14ac:dyDescent="0.25">
      <c r="F80" s="3"/>
      <c r="G80" s="4"/>
    </row>
    <row r="81" spans="6:7" ht="20.100000000000001" customHeight="1" x14ac:dyDescent="0.25">
      <c r="F81" s="3"/>
      <c r="G81" s="4"/>
    </row>
    <row r="82" spans="6:7" ht="20.100000000000001" customHeight="1" x14ac:dyDescent="0.25">
      <c r="F82" s="3"/>
      <c r="G82" s="4"/>
    </row>
    <row r="83" spans="6:7" ht="20.100000000000001" customHeight="1" x14ac:dyDescent="0.25">
      <c r="F83" s="3"/>
      <c r="G83" s="4"/>
    </row>
    <row r="84" spans="6:7" ht="20.100000000000001" customHeight="1" x14ac:dyDescent="0.25">
      <c r="F84" s="3"/>
      <c r="G84" s="4"/>
    </row>
    <row r="85" spans="6:7" ht="20.100000000000001" customHeight="1" x14ac:dyDescent="0.25">
      <c r="F85" s="3"/>
      <c r="G85" s="4"/>
    </row>
    <row r="86" spans="6:7" ht="20.100000000000001" customHeight="1" x14ac:dyDescent="0.25">
      <c r="F86" s="3"/>
      <c r="G86" s="4"/>
    </row>
    <row r="87" spans="6:7" ht="20.100000000000001" customHeight="1" x14ac:dyDescent="0.25">
      <c r="F87" s="3"/>
      <c r="G87" s="4"/>
    </row>
    <row r="88" spans="6:7" ht="20.100000000000001" customHeight="1" x14ac:dyDescent="0.25">
      <c r="F88" s="3"/>
      <c r="G88" s="4"/>
    </row>
    <row r="89" spans="6:7" ht="20.100000000000001" customHeight="1" x14ac:dyDescent="0.25">
      <c r="F89" s="3"/>
      <c r="G89" s="4"/>
    </row>
    <row r="90" spans="6:7" ht="20.100000000000001" customHeight="1" x14ac:dyDescent="0.25">
      <c r="F90" s="3"/>
      <c r="G90" s="4"/>
    </row>
    <row r="91" spans="6:7" ht="20.100000000000001" customHeight="1" x14ac:dyDescent="0.25">
      <c r="F91" s="3"/>
      <c r="G91" s="4"/>
    </row>
    <row r="92" spans="6:7" ht="20.100000000000001" customHeight="1" x14ac:dyDescent="0.25">
      <c r="F92" s="3"/>
      <c r="G92" s="4"/>
    </row>
    <row r="93" spans="6:7" ht="20.100000000000001" customHeight="1" x14ac:dyDescent="0.25">
      <c r="F93" s="3"/>
      <c r="G93" s="4"/>
    </row>
    <row r="94" spans="6:7" ht="20.100000000000001" customHeight="1" x14ac:dyDescent="0.25">
      <c r="F94" s="3"/>
      <c r="G94" s="4"/>
    </row>
    <row r="95" spans="6:7" ht="20.100000000000001" customHeight="1" x14ac:dyDescent="0.25">
      <c r="F95" s="3"/>
      <c r="G95" s="4"/>
    </row>
    <row r="96" spans="6:7" ht="20.100000000000001" customHeight="1" x14ac:dyDescent="0.25">
      <c r="F96" s="3"/>
      <c r="G96" s="4"/>
    </row>
    <row r="97" spans="6:6" ht="20.100000000000001" customHeight="1" x14ac:dyDescent="0.25">
      <c r="F97" s="3"/>
    </row>
    <row r="98" spans="6:6" ht="20.100000000000001" customHeight="1" x14ac:dyDescent="0.25">
      <c r="F98" s="3"/>
    </row>
    <row r="99" spans="6:6" ht="20.100000000000001" customHeight="1" x14ac:dyDescent="0.25">
      <c r="F99" s="3"/>
    </row>
    <row r="100" spans="6:6" ht="20.100000000000001" customHeight="1" x14ac:dyDescent="0.25">
      <c r="F100" s="3"/>
    </row>
    <row r="101" spans="6:6" ht="20.100000000000001" customHeight="1" x14ac:dyDescent="0.25">
      <c r="F101" s="3"/>
    </row>
    <row r="102" spans="6:6" ht="20.100000000000001" customHeight="1" x14ac:dyDescent="0.25">
      <c r="F102" s="3"/>
    </row>
    <row r="103" spans="6:6" ht="20.100000000000001" customHeight="1" x14ac:dyDescent="0.25"/>
    <row r="104" spans="6:6" ht="20.100000000000001" customHeight="1" x14ac:dyDescent="0.25"/>
    <row r="105" spans="6:6" ht="20.100000000000001" customHeight="1" x14ac:dyDescent="0.25"/>
    <row r="106" spans="6:6" ht="20.100000000000001" customHeight="1" x14ac:dyDescent="0.25"/>
    <row r="107" spans="6:6" ht="20.100000000000001" customHeight="1" x14ac:dyDescent="0.25"/>
    <row r="108" spans="6:6" ht="20.100000000000001" customHeight="1" x14ac:dyDescent="0.25"/>
    <row r="109" spans="6:6" ht="20.100000000000001" customHeight="1" x14ac:dyDescent="0.25"/>
    <row r="110" spans="6:6" ht="20.100000000000001" customHeight="1" x14ac:dyDescent="0.25"/>
    <row r="111" spans="6:6" ht="20.100000000000001" customHeight="1" x14ac:dyDescent="0.25"/>
    <row r="112" spans="6:6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</sheetData>
  <customSheetViews>
    <customSheetView guid="{4BA530B0-00CD-4136-A5A2-BE4A69A338F8}" showGridLines="0" hiddenRows="1" hiddenColumns="1" topLeftCell="B1">
      <selection activeCell="C10" sqref="C10"/>
      <pageMargins left="0.7" right="0.7" top="0.75" bottom="0.75" header="0.3" footer="0.3"/>
    </customSheetView>
    <customSheetView guid="{7E13D3E2-9E38-4059-9599-2E41C6DC7CAD}" showGridLines="0" hiddenRows="1" hiddenColumns="1">
      <selection activeCell="A19" sqref="A19"/>
      <pageMargins left="0.7" right="0.7" top="0.75" bottom="0.75" header="0.3" footer="0.3"/>
    </customSheetView>
  </customSheetViews>
  <mergeCells count="7">
    <mergeCell ref="H25:H31"/>
    <mergeCell ref="B25:B31"/>
    <mergeCell ref="C25:C31"/>
    <mergeCell ref="D25:D31"/>
    <mergeCell ref="E25:E31"/>
    <mergeCell ref="F25:F31"/>
    <mergeCell ref="G25:G3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A25A4-A0BB-4D75-80C9-6BC2DB801CDA}">
  <dimension ref="A1:P68"/>
  <sheetViews>
    <sheetView showGridLines="0" tabSelected="1" zoomScale="75" zoomScaleNormal="75" workbookViewId="0"/>
  </sheetViews>
  <sheetFormatPr defaultColWidth="9.140625" defaultRowHeight="12.75" x14ac:dyDescent="0.2"/>
  <cols>
    <col min="1" max="1" width="60.7109375" customWidth="1"/>
    <col min="2" max="16" width="19.7109375" customWidth="1"/>
  </cols>
  <sheetData>
    <row r="1" spans="1:16" ht="20.25" customHeight="1" x14ac:dyDescent="0.2">
      <c r="A1" s="42" t="s">
        <v>80</v>
      </c>
    </row>
    <row r="2" spans="1:16" ht="16.5" x14ac:dyDescent="0.2">
      <c r="A2" s="44" t="s">
        <v>0</v>
      </c>
      <c r="B2" s="14"/>
    </row>
    <row r="3" spans="1:16" ht="16.5" x14ac:dyDescent="0.2">
      <c r="A3" s="44" t="s">
        <v>105</v>
      </c>
      <c r="B3" s="14"/>
    </row>
    <row r="4" spans="1:16" ht="16.5" x14ac:dyDescent="0.2">
      <c r="A4" s="44" t="s">
        <v>102</v>
      </c>
      <c r="B4" s="14"/>
    </row>
    <row r="5" spans="1:16" ht="16.5" x14ac:dyDescent="0.2">
      <c r="A5" s="44" t="s">
        <v>100</v>
      </c>
      <c r="B5" s="14"/>
    </row>
    <row r="6" spans="1:16" ht="16.5" x14ac:dyDescent="0.2">
      <c r="A6" s="44" t="s">
        <v>106</v>
      </c>
      <c r="B6" s="14"/>
    </row>
    <row r="7" spans="1:16" ht="16.5" x14ac:dyDescent="0.2">
      <c r="A7" s="44" t="s">
        <v>107</v>
      </c>
      <c r="B7" s="14"/>
    </row>
    <row r="8" spans="1:16" ht="16.5" x14ac:dyDescent="0.2">
      <c r="A8" s="44" t="s">
        <v>98</v>
      </c>
      <c r="B8" s="14"/>
    </row>
    <row r="9" spans="1:16" ht="24.95" customHeight="1" x14ac:dyDescent="0.25">
      <c r="A9" s="1"/>
      <c r="B9" s="1"/>
    </row>
    <row r="10" spans="1:16" ht="21" customHeight="1" thickBot="1" x14ac:dyDescent="0.25">
      <c r="A10" s="46" t="s">
        <v>66</v>
      </c>
      <c r="B10" s="41">
        <v>2004</v>
      </c>
      <c r="C10" s="13">
        <v>2005</v>
      </c>
      <c r="D10" s="13" t="s">
        <v>9</v>
      </c>
      <c r="E10" s="13" t="s">
        <v>10</v>
      </c>
      <c r="F10" s="13" t="s">
        <v>11</v>
      </c>
      <c r="G10" s="13" t="s">
        <v>12</v>
      </c>
      <c r="H10" s="13" t="s">
        <v>13</v>
      </c>
      <c r="I10" s="13" t="s">
        <v>14</v>
      </c>
      <c r="J10" s="13" t="s">
        <v>15</v>
      </c>
      <c r="K10" s="13">
        <v>2013</v>
      </c>
      <c r="L10" s="13" t="s">
        <v>16</v>
      </c>
      <c r="M10" s="13" t="s">
        <v>17</v>
      </c>
      <c r="N10" s="13" t="s">
        <v>18</v>
      </c>
      <c r="O10" s="100">
        <v>2017</v>
      </c>
      <c r="P10" s="100">
        <v>2018</v>
      </c>
    </row>
    <row r="11" spans="1:16" ht="24.95" customHeight="1" x14ac:dyDescent="0.2">
      <c r="A11" s="81" t="s">
        <v>41</v>
      </c>
      <c r="B11" s="82">
        <f>SUM(B12,B19,B25,B29,B33)</f>
        <v>6210.7</v>
      </c>
      <c r="C11" s="82">
        <f t="shared" ref="C11:O11" si="0">SUM(C12,C19,C25,C29,C33)</f>
        <v>6665.7499999999991</v>
      </c>
      <c r="D11" s="82">
        <f t="shared" si="0"/>
        <v>7103.0695260000002</v>
      </c>
      <c r="E11" s="82">
        <f t="shared" si="0"/>
        <v>7552.5608679999996</v>
      </c>
      <c r="F11" s="82">
        <f t="shared" si="0"/>
        <v>8177.2720630000013</v>
      </c>
      <c r="G11" s="82">
        <f t="shared" si="0"/>
        <v>8670.9782159999995</v>
      </c>
      <c r="H11" s="82">
        <f t="shared" si="0"/>
        <v>9024.3406470000009</v>
      </c>
      <c r="I11" s="82">
        <f t="shared" si="0"/>
        <v>9659.5114629999989</v>
      </c>
      <c r="J11" s="82">
        <f t="shared" si="0"/>
        <v>10258.544554</v>
      </c>
      <c r="K11" s="82">
        <f t="shared" si="0"/>
        <v>10916.260872999999</v>
      </c>
      <c r="L11" s="82">
        <f t="shared" si="0"/>
        <v>11327.165063999999</v>
      </c>
      <c r="M11" s="82">
        <f t="shared" si="0"/>
        <v>11756.132186999999</v>
      </c>
      <c r="N11" s="82">
        <f t="shared" si="0"/>
        <v>12239.699999999999</v>
      </c>
      <c r="O11" s="82">
        <f t="shared" si="0"/>
        <v>13677.140000000001</v>
      </c>
      <c r="P11" s="82">
        <f t="shared" ref="P11" si="1">SUM(P12,P19,P25,P29,P33)</f>
        <v>14132.83</v>
      </c>
    </row>
    <row r="12" spans="1:16" ht="24.95" customHeight="1" x14ac:dyDescent="0.3">
      <c r="A12" s="83" t="s">
        <v>42</v>
      </c>
      <c r="B12" s="82">
        <f>SUM(B13:B18)</f>
        <v>2344.2799999999997</v>
      </c>
      <c r="C12" s="82">
        <f t="shared" ref="C12:M12" si="2">SUM(C13:C18)</f>
        <v>2503.71</v>
      </c>
      <c r="D12" s="82">
        <f t="shared" si="2"/>
        <v>2604.7748700000002</v>
      </c>
      <c r="E12" s="82">
        <f t="shared" si="2"/>
        <v>2714.9243470000001</v>
      </c>
      <c r="F12" s="82">
        <f t="shared" si="2"/>
        <v>2904.9574050000001</v>
      </c>
      <c r="G12" s="82">
        <f t="shared" si="2"/>
        <v>3035.1371100000001</v>
      </c>
      <c r="H12" s="82">
        <f t="shared" si="2"/>
        <v>3117.6317820000004</v>
      </c>
      <c r="I12" s="82">
        <f t="shared" si="2"/>
        <v>3348.864587</v>
      </c>
      <c r="J12" s="82">
        <f t="shared" si="2"/>
        <v>3582.0084350000002</v>
      </c>
      <c r="K12" s="82">
        <f t="shared" si="2"/>
        <v>3769.1238979999998</v>
      </c>
      <c r="L12" s="82">
        <f t="shared" si="2"/>
        <v>3556.2531880000001</v>
      </c>
      <c r="M12" s="82">
        <f t="shared" si="2"/>
        <v>3663.638504</v>
      </c>
      <c r="N12" s="82">
        <f>N13+N14+N15+N16+N17+N18</f>
        <v>3796.8399999999997</v>
      </c>
      <c r="O12" s="82">
        <f>SUM(O13:O18)</f>
        <v>4870.87</v>
      </c>
      <c r="P12" s="82">
        <f>SUM(P13:P18)</f>
        <v>5037.33</v>
      </c>
    </row>
    <row r="13" spans="1:16" ht="24.95" customHeight="1" x14ac:dyDescent="0.3">
      <c r="A13" s="84" t="s">
        <v>43</v>
      </c>
      <c r="B13" s="85">
        <v>691.92</v>
      </c>
      <c r="C13" s="85">
        <v>711.6</v>
      </c>
      <c r="D13" s="103">
        <f>607.192456+126.009224</f>
        <v>733.20168000000001</v>
      </c>
      <c r="E13" s="103">
        <f>632.711267+130.462606</f>
        <v>763.17387299999996</v>
      </c>
      <c r="F13" s="103">
        <f>667.14644+138.682211</f>
        <v>805.82865100000004</v>
      </c>
      <c r="G13" s="103">
        <f>696.263878+146.561941</f>
        <v>842.82581899999991</v>
      </c>
      <c r="H13" s="103">
        <f>714.605251+152.611786</f>
        <v>867.21703699999989</v>
      </c>
      <c r="I13" s="103">
        <f>759.066675+164.312844</f>
        <v>923.37951900000007</v>
      </c>
      <c r="J13" s="103">
        <f>804.841034+177.703269</f>
        <v>982.54430300000001</v>
      </c>
      <c r="K13" s="103">
        <f>849.787022+191.248739</f>
        <v>1041.0357610000001</v>
      </c>
      <c r="L13" s="103">
        <f>905.691186+197.653506</f>
        <v>1103.3446920000001</v>
      </c>
      <c r="M13" s="103">
        <f>1007.520178+194.509674</f>
        <v>1202.0298519999999</v>
      </c>
      <c r="N13" s="103">
        <v>1197.07</v>
      </c>
      <c r="O13" s="103">
        <v>1256.04</v>
      </c>
      <c r="P13" s="103">
        <v>1307.3399999999999</v>
      </c>
    </row>
    <row r="14" spans="1:16" ht="24.95" customHeight="1" x14ac:dyDescent="0.3">
      <c r="A14" s="84" t="s">
        <v>44</v>
      </c>
      <c r="B14" s="85">
        <v>142.37</v>
      </c>
      <c r="C14" s="85">
        <v>149.07</v>
      </c>
      <c r="D14" s="103">
        <v>155.53348700000001</v>
      </c>
      <c r="E14" s="103">
        <v>164.03948600000001</v>
      </c>
      <c r="F14" s="103">
        <v>174.234431</v>
      </c>
      <c r="G14" s="103">
        <v>184.43377100000001</v>
      </c>
      <c r="H14" s="103">
        <v>189.85986199999999</v>
      </c>
      <c r="I14" s="103">
        <v>201.316495</v>
      </c>
      <c r="J14" s="103">
        <v>213.08152200000001</v>
      </c>
      <c r="K14" s="103">
        <v>224.006123</v>
      </c>
      <c r="L14" s="103">
        <v>232.73531199999999</v>
      </c>
      <c r="M14" s="103">
        <v>241.0857</v>
      </c>
      <c r="N14" s="103">
        <v>251.81</v>
      </c>
      <c r="O14" s="103">
        <v>262.98</v>
      </c>
      <c r="P14" s="107">
        <v>275.83</v>
      </c>
    </row>
    <row r="15" spans="1:16" ht="24.95" customHeight="1" x14ac:dyDescent="0.3">
      <c r="A15" s="84" t="s">
        <v>45</v>
      </c>
      <c r="B15" s="85">
        <v>534.25</v>
      </c>
      <c r="C15" s="85">
        <v>630.46</v>
      </c>
      <c r="D15" s="101">
        <v>659.96808099999998</v>
      </c>
      <c r="E15" s="101">
        <v>695.25641299999995</v>
      </c>
      <c r="F15" s="101">
        <v>765.83584499999995</v>
      </c>
      <c r="G15" s="101">
        <v>794.61125400000003</v>
      </c>
      <c r="H15" s="101">
        <v>821.72053600000004</v>
      </c>
      <c r="I15" s="101">
        <v>888.08967800000005</v>
      </c>
      <c r="J15" s="101">
        <v>945.40112799999997</v>
      </c>
      <c r="K15" s="101">
        <v>998.85262</v>
      </c>
      <c r="L15" s="101">
        <v>1030.3911230000001</v>
      </c>
      <c r="M15" s="101">
        <v>1059.667623</v>
      </c>
      <c r="N15" s="101">
        <v>1083.24</v>
      </c>
      <c r="O15" s="101">
        <v>2034.34</v>
      </c>
      <c r="P15" s="108">
        <v>2092.63</v>
      </c>
    </row>
    <row r="16" spans="1:16" ht="24.95" customHeight="1" x14ac:dyDescent="0.3">
      <c r="A16" s="84" t="s">
        <v>46</v>
      </c>
      <c r="B16" s="85">
        <v>31.72</v>
      </c>
      <c r="C16" s="85">
        <v>32.31</v>
      </c>
      <c r="D16" s="103">
        <v>32.590369000000003</v>
      </c>
      <c r="E16" s="103">
        <v>32.034336000000003</v>
      </c>
      <c r="F16" s="103">
        <v>32.783771999999999</v>
      </c>
      <c r="G16" s="103">
        <v>33.156222</v>
      </c>
      <c r="H16" s="103">
        <v>32.902661000000002</v>
      </c>
      <c r="I16" s="103">
        <v>33.876289</v>
      </c>
      <c r="J16" s="103">
        <v>34.190050999999997</v>
      </c>
      <c r="K16" s="103">
        <v>33.507368999999997</v>
      </c>
      <c r="L16" s="103">
        <v>32.101069000000003</v>
      </c>
      <c r="M16" s="103">
        <v>29.266770999999999</v>
      </c>
      <c r="N16" s="103">
        <v>27.18</v>
      </c>
      <c r="O16" s="103">
        <v>25.18</v>
      </c>
      <c r="P16" s="107">
        <v>23.35</v>
      </c>
    </row>
    <row r="17" spans="1:16" ht="24.95" customHeight="1" x14ac:dyDescent="0.3">
      <c r="A17" s="84" t="s">
        <v>47</v>
      </c>
      <c r="B17" s="85">
        <v>883.84</v>
      </c>
      <c r="C17" s="85">
        <v>897.19</v>
      </c>
      <c r="D17" s="103">
        <f>771.353435+141.273257</f>
        <v>912.62669200000005</v>
      </c>
      <c r="E17" s="103">
        <f>783.95352+136.967554</f>
        <v>920.92107400000009</v>
      </c>
      <c r="F17" s="103">
        <f>814.972361+135.321496</f>
        <v>950.293857</v>
      </c>
      <c r="G17" s="103">
        <f>837.760295+133.087195</f>
        <v>970.84749000000011</v>
      </c>
      <c r="H17" s="103">
        <f>839.540288+127.025314</f>
        <v>966.56560200000001</v>
      </c>
      <c r="I17" s="103">
        <f>865.442964+124.457633</f>
        <v>989.90059699999995</v>
      </c>
      <c r="J17" s="103">
        <f>891.647448+120.652263</f>
        <v>1012.2997110000001</v>
      </c>
      <c r="K17" s="103">
        <f>919.022258+115.807931</f>
        <v>1034.830189</v>
      </c>
      <c r="L17" s="103">
        <f>914.768179+108.552813</f>
        <v>1023.320992</v>
      </c>
      <c r="M17" s="103">
        <v>981.20278199999996</v>
      </c>
      <c r="N17" s="103">
        <v>1069.72</v>
      </c>
      <c r="O17" s="106">
        <v>1111.56</v>
      </c>
      <c r="P17" s="107">
        <v>1147.53</v>
      </c>
    </row>
    <row r="18" spans="1:16" ht="24.95" customHeight="1" x14ac:dyDescent="0.3">
      <c r="A18" s="84" t="s">
        <v>48</v>
      </c>
      <c r="B18" s="85">
        <v>60.18</v>
      </c>
      <c r="C18" s="85">
        <v>83.08</v>
      </c>
      <c r="D18" s="103">
        <v>110.854561</v>
      </c>
      <c r="E18" s="103">
        <v>139.499165</v>
      </c>
      <c r="F18" s="103">
        <v>175.98084900000001</v>
      </c>
      <c r="G18" s="103">
        <v>209.26255399999999</v>
      </c>
      <c r="H18" s="103">
        <v>239.366084</v>
      </c>
      <c r="I18" s="103">
        <v>312.302009</v>
      </c>
      <c r="J18" s="103">
        <v>394.49171999999999</v>
      </c>
      <c r="K18" s="103">
        <v>436.89183600000001</v>
      </c>
      <c r="L18" s="103">
        <v>134.36000000000001</v>
      </c>
      <c r="M18" s="103">
        <v>150.38577599999999</v>
      </c>
      <c r="N18" s="103">
        <v>167.82</v>
      </c>
      <c r="O18" s="103">
        <v>180.77</v>
      </c>
      <c r="P18" s="107">
        <v>190.65</v>
      </c>
    </row>
    <row r="19" spans="1:16" ht="24.95" customHeight="1" x14ac:dyDescent="0.3">
      <c r="A19" s="83" t="s">
        <v>49</v>
      </c>
      <c r="B19" s="82">
        <f>SUM(B20:B24)</f>
        <v>236.47</v>
      </c>
      <c r="C19" s="82">
        <f t="shared" ref="C19:P19" si="3">SUM(C20:C24)</f>
        <v>259.31</v>
      </c>
      <c r="D19" s="82">
        <f t="shared" si="3"/>
        <v>284.10123300000004</v>
      </c>
      <c r="E19" s="82">
        <f t="shared" si="3"/>
        <v>310.65867300000002</v>
      </c>
      <c r="F19" s="82">
        <f t="shared" si="3"/>
        <v>347.67933600000003</v>
      </c>
      <c r="G19" s="82">
        <f t="shared" si="3"/>
        <v>379.81739299999998</v>
      </c>
      <c r="H19" s="82">
        <f t="shared" si="3"/>
        <v>410.99852900000002</v>
      </c>
      <c r="I19" s="82">
        <f t="shared" si="3"/>
        <v>455.17792199999997</v>
      </c>
      <c r="J19" s="82">
        <f t="shared" si="3"/>
        <v>496.78761800000001</v>
      </c>
      <c r="K19" s="82">
        <f t="shared" si="3"/>
        <v>565.50882300000012</v>
      </c>
      <c r="L19" s="82">
        <f t="shared" si="3"/>
        <v>628.51061200000004</v>
      </c>
      <c r="M19" s="82">
        <f>SUM(M20:M24)</f>
        <v>660.40801999999996</v>
      </c>
      <c r="N19" s="82">
        <f t="shared" si="3"/>
        <v>734.28</v>
      </c>
      <c r="O19" s="82">
        <f t="shared" si="3"/>
        <v>843.5</v>
      </c>
      <c r="P19" s="82">
        <f t="shared" si="3"/>
        <v>949.7700000000001</v>
      </c>
    </row>
    <row r="20" spans="1:16" ht="24.95" customHeight="1" x14ac:dyDescent="0.3">
      <c r="A20" s="84" t="s">
        <v>50</v>
      </c>
      <c r="B20" s="85">
        <v>119.1</v>
      </c>
      <c r="C20" s="85">
        <v>130.72</v>
      </c>
      <c r="D20" s="101">
        <v>144.73323500000001</v>
      </c>
      <c r="E20" s="101">
        <v>159.42425</v>
      </c>
      <c r="F20" s="101">
        <v>178.594021</v>
      </c>
      <c r="G20" s="101">
        <v>193.361006</v>
      </c>
      <c r="H20" s="101">
        <f>207.139848</f>
        <v>207.139848</v>
      </c>
      <c r="I20" s="101">
        <v>229.92413999999999</v>
      </c>
      <c r="J20" s="101">
        <v>249.66400400000001</v>
      </c>
      <c r="K20" s="101">
        <v>294.49328800000001</v>
      </c>
      <c r="L20" s="101">
        <v>341.74125400000003</v>
      </c>
      <c r="M20" s="101">
        <v>360.62614200000002</v>
      </c>
      <c r="N20" s="101">
        <v>416.45</v>
      </c>
      <c r="O20" s="102">
        <v>507.83</v>
      </c>
      <c r="P20" s="107">
        <v>598.89</v>
      </c>
    </row>
    <row r="21" spans="1:16" ht="24.95" customHeight="1" x14ac:dyDescent="0.3">
      <c r="A21" s="84" t="s">
        <v>51</v>
      </c>
      <c r="B21" s="85">
        <v>44.74</v>
      </c>
      <c r="C21" s="85">
        <v>48.38</v>
      </c>
      <c r="D21" s="101">
        <v>52.642646999999997</v>
      </c>
      <c r="E21" s="101">
        <v>56.768023999999997</v>
      </c>
      <c r="F21" s="101">
        <v>64.716936000000004</v>
      </c>
      <c r="G21" s="101">
        <v>72.556563999999995</v>
      </c>
      <c r="H21" s="101">
        <f>79.470429</f>
        <v>79.470428999999996</v>
      </c>
      <c r="I21" s="101">
        <v>89.462114999999997</v>
      </c>
      <c r="J21" s="101">
        <v>100.76569499999999</v>
      </c>
      <c r="K21" s="101">
        <v>112.138805</v>
      </c>
      <c r="L21" s="101">
        <v>120.51074199999999</v>
      </c>
      <c r="M21" s="101">
        <v>126.728874</v>
      </c>
      <c r="N21" s="101">
        <v>134.93</v>
      </c>
      <c r="O21" s="102">
        <v>142.27000000000001</v>
      </c>
      <c r="P21" s="107">
        <v>149.47</v>
      </c>
    </row>
    <row r="22" spans="1:16" ht="24.95" customHeight="1" x14ac:dyDescent="0.3">
      <c r="A22" s="84" t="s">
        <v>52</v>
      </c>
      <c r="B22" s="85">
        <v>10.48</v>
      </c>
      <c r="C22" s="85">
        <v>11.93</v>
      </c>
      <c r="D22" s="101">
        <v>13.15582</v>
      </c>
      <c r="E22" s="101">
        <v>14.730442999999999</v>
      </c>
      <c r="F22" s="101">
        <v>17.258476000000002</v>
      </c>
      <c r="G22" s="101">
        <v>18.974221</v>
      </c>
      <c r="H22" s="101">
        <f>21.417826</f>
        <v>21.417826000000002</v>
      </c>
      <c r="I22" s="101">
        <v>24.084658000000001</v>
      </c>
      <c r="J22" s="101">
        <v>26.868932999999998</v>
      </c>
      <c r="K22" s="101">
        <v>29.719978000000001</v>
      </c>
      <c r="L22" s="101">
        <v>32.172663999999997</v>
      </c>
      <c r="M22" s="101">
        <v>34.230528</v>
      </c>
      <c r="N22" s="101">
        <v>36.64</v>
      </c>
      <c r="O22" s="102">
        <v>39.130000000000003</v>
      </c>
      <c r="P22" s="107">
        <v>41.13</v>
      </c>
    </row>
    <row r="23" spans="1:16" ht="24.95" customHeight="1" x14ac:dyDescent="0.3">
      <c r="A23" s="84" t="s">
        <v>53</v>
      </c>
      <c r="B23" s="85">
        <v>61.85</v>
      </c>
      <c r="C23" s="85">
        <v>67.87</v>
      </c>
      <c r="D23" s="101">
        <v>72.962260000000001</v>
      </c>
      <c r="E23" s="101">
        <v>79.084802999999994</v>
      </c>
      <c r="F23" s="101">
        <v>86.444720000000004</v>
      </c>
      <c r="G23" s="101">
        <v>94.183473000000006</v>
      </c>
      <c r="H23" s="101">
        <v>99.469504999999998</v>
      </c>
      <c r="I23" s="101">
        <v>108.013829</v>
      </c>
      <c r="J23" s="101">
        <v>115.871624</v>
      </c>
      <c r="K23" s="101">
        <v>125.14258100000001</v>
      </c>
      <c r="L23" s="101">
        <v>129.64034799999999</v>
      </c>
      <c r="M23" s="101">
        <v>132.87558899999999</v>
      </c>
      <c r="N23" s="101">
        <v>137.63</v>
      </c>
      <c r="O23" s="102">
        <v>143.07</v>
      </c>
      <c r="P23" s="107">
        <v>146.59</v>
      </c>
    </row>
    <row r="24" spans="1:16" ht="24.95" customHeight="1" x14ac:dyDescent="0.3">
      <c r="A24" s="84" t="s">
        <v>54</v>
      </c>
      <c r="B24" s="85">
        <v>0.3</v>
      </c>
      <c r="C24" s="85">
        <v>0.41</v>
      </c>
      <c r="D24" s="101">
        <v>0.60727100000000001</v>
      </c>
      <c r="E24" s="101">
        <v>0.65115299999999998</v>
      </c>
      <c r="F24" s="101">
        <v>0.66518299999999997</v>
      </c>
      <c r="G24" s="101">
        <v>0.74212900000000004</v>
      </c>
      <c r="H24" s="101">
        <v>3.5009209999999999</v>
      </c>
      <c r="I24" s="101">
        <v>3.6931799999999999</v>
      </c>
      <c r="J24" s="101">
        <v>3.617362</v>
      </c>
      <c r="K24" s="101">
        <v>4.0141710000000002</v>
      </c>
      <c r="L24" s="101">
        <v>4.4456040000000003</v>
      </c>
      <c r="M24" s="101">
        <v>5.9468870000000003</v>
      </c>
      <c r="N24" s="101">
        <v>8.6300000000000008</v>
      </c>
      <c r="O24" s="102">
        <v>11.2</v>
      </c>
      <c r="P24" s="107">
        <v>13.69</v>
      </c>
    </row>
    <row r="25" spans="1:16" ht="24.95" customHeight="1" x14ac:dyDescent="0.3">
      <c r="A25" s="83" t="s">
        <v>55</v>
      </c>
      <c r="B25" s="82">
        <f>SUM(B26:B28)</f>
        <v>3134.8799999999997</v>
      </c>
      <c r="C25" s="82">
        <f t="shared" ref="C25:P25" si="4">SUM(C26:C28)</f>
        <v>3381.0299999999997</v>
      </c>
      <c r="D25" s="82">
        <f t="shared" si="4"/>
        <v>3625.3500399999998</v>
      </c>
      <c r="E25" s="82">
        <f t="shared" si="4"/>
        <v>3887.0916239999997</v>
      </c>
      <c r="F25" s="82">
        <f t="shared" si="4"/>
        <v>4222.2786380000007</v>
      </c>
      <c r="G25" s="82">
        <f t="shared" si="4"/>
        <v>4497.1469580000003</v>
      </c>
      <c r="H25" s="82">
        <f t="shared" si="4"/>
        <v>4701.5123359999998</v>
      </c>
      <c r="I25" s="82">
        <f t="shared" si="4"/>
        <v>5023.7318999999998</v>
      </c>
      <c r="J25" s="82">
        <f t="shared" si="4"/>
        <v>5321.7576630000003</v>
      </c>
      <c r="K25" s="82">
        <f t="shared" si="4"/>
        <v>5659.2941539999993</v>
      </c>
      <c r="L25" s="82">
        <f t="shared" si="4"/>
        <v>5838.8285619999997</v>
      </c>
      <c r="M25" s="82">
        <f t="shared" si="4"/>
        <v>6034.2799450000002</v>
      </c>
      <c r="N25" s="82">
        <f>SUM(N26:N28)</f>
        <v>6233.9299999999994</v>
      </c>
      <c r="O25" s="82">
        <f t="shared" si="4"/>
        <v>6411.7400000000007</v>
      </c>
      <c r="P25" s="82">
        <f t="shared" si="4"/>
        <v>6514.6500000000005</v>
      </c>
    </row>
    <row r="26" spans="1:16" ht="24.95" customHeight="1" x14ac:dyDescent="0.3">
      <c r="A26" s="84" t="s">
        <v>56</v>
      </c>
      <c r="B26" s="85">
        <v>1786.05</v>
      </c>
      <c r="C26" s="85">
        <v>1927.35</v>
      </c>
      <c r="D26" s="101">
        <v>2071.2478190000002</v>
      </c>
      <c r="E26" s="101">
        <v>2219.0897829999999</v>
      </c>
      <c r="F26" s="101">
        <v>2411.5112410000002</v>
      </c>
      <c r="G26" s="101">
        <v>2566.476611</v>
      </c>
      <c r="H26" s="101">
        <v>2682.640437</v>
      </c>
      <c r="I26" s="101">
        <v>2867.6453550000001</v>
      </c>
      <c r="J26" s="101">
        <v>3042.9864090000001</v>
      </c>
      <c r="K26" s="101">
        <v>3215.9144879999999</v>
      </c>
      <c r="L26" s="101">
        <v>3323.5564039999999</v>
      </c>
      <c r="M26" s="101">
        <v>3452.7731410000001</v>
      </c>
      <c r="N26" s="101">
        <v>3557.35</v>
      </c>
      <c r="O26" s="102">
        <v>3632.12</v>
      </c>
      <c r="P26" s="107">
        <v>3653.15</v>
      </c>
    </row>
    <row r="27" spans="1:16" ht="24.95" customHeight="1" x14ac:dyDescent="0.3">
      <c r="A27" s="84" t="s">
        <v>57</v>
      </c>
      <c r="B27" s="85">
        <v>1336.94</v>
      </c>
      <c r="C27" s="85">
        <v>1440.79</v>
      </c>
      <c r="D27" s="101">
        <v>1540.31168</v>
      </c>
      <c r="E27" s="101">
        <v>1652.758885</v>
      </c>
      <c r="F27" s="101">
        <v>1793.8354999999999</v>
      </c>
      <c r="G27" s="101">
        <v>1912.02999</v>
      </c>
      <c r="H27" s="101">
        <f>1998.508452</f>
        <v>1998.508452</v>
      </c>
      <c r="I27" s="101">
        <v>2133.5739410000001</v>
      </c>
      <c r="J27" s="101">
        <v>2253.8856230000001</v>
      </c>
      <c r="K27" s="101">
        <v>2416.6942239999998</v>
      </c>
      <c r="L27" s="101">
        <v>2487.1197990000001</v>
      </c>
      <c r="M27" s="101">
        <v>2553.052459</v>
      </c>
      <c r="N27" s="101">
        <v>2648.54</v>
      </c>
      <c r="O27" s="102">
        <v>2751.15</v>
      </c>
      <c r="P27" s="107">
        <v>2833.07</v>
      </c>
    </row>
    <row r="28" spans="1:16" ht="24.95" customHeight="1" x14ac:dyDescent="0.3">
      <c r="A28" s="84" t="s">
        <v>58</v>
      </c>
      <c r="B28" s="85">
        <v>11.89</v>
      </c>
      <c r="C28" s="85">
        <v>12.89</v>
      </c>
      <c r="D28" s="101">
        <v>13.790540999999999</v>
      </c>
      <c r="E28" s="101">
        <v>15.242956</v>
      </c>
      <c r="F28" s="101">
        <v>16.931896999999999</v>
      </c>
      <c r="G28" s="101">
        <v>18.640357000000002</v>
      </c>
      <c r="H28" s="101">
        <v>20.363447000000001</v>
      </c>
      <c r="I28" s="101">
        <v>22.512604</v>
      </c>
      <c r="J28" s="101">
        <v>24.885631</v>
      </c>
      <c r="K28" s="101">
        <v>26.685441999999998</v>
      </c>
      <c r="L28" s="101">
        <v>28.152359000000001</v>
      </c>
      <c r="M28" s="101">
        <v>28.454345</v>
      </c>
      <c r="N28" s="101">
        <v>28.04</v>
      </c>
      <c r="O28" s="102">
        <v>28.47</v>
      </c>
      <c r="P28" s="107">
        <v>28.43</v>
      </c>
    </row>
    <row r="29" spans="1:16" ht="24.95" customHeight="1" x14ac:dyDescent="0.3">
      <c r="A29" s="83" t="s">
        <v>59</v>
      </c>
      <c r="B29" s="82">
        <f>SUM(B30:B32)</f>
        <v>491.05</v>
      </c>
      <c r="C29" s="82">
        <f t="shared" ref="C29:P29" si="5">SUM(C30:C32)</f>
        <v>520.13</v>
      </c>
      <c r="D29" s="82">
        <f>SUM(D30:D32)</f>
        <v>588.84338300000002</v>
      </c>
      <c r="E29" s="82">
        <f t="shared" si="5"/>
        <v>639.88622399999997</v>
      </c>
      <c r="F29" s="82">
        <f t="shared" si="5"/>
        <v>702.35668399999997</v>
      </c>
      <c r="G29" s="82">
        <f t="shared" si="5"/>
        <v>758.876755</v>
      </c>
      <c r="H29" s="82">
        <f t="shared" si="5"/>
        <v>794.19799999999998</v>
      </c>
      <c r="I29" s="82">
        <f t="shared" si="5"/>
        <v>831.73705399999994</v>
      </c>
      <c r="J29" s="82">
        <f t="shared" si="5"/>
        <v>857.99083800000005</v>
      </c>
      <c r="K29" s="82">
        <f t="shared" si="5"/>
        <v>922.33399800000007</v>
      </c>
      <c r="L29" s="82">
        <f t="shared" si="5"/>
        <v>1303.5727019999999</v>
      </c>
      <c r="M29" s="82">
        <f t="shared" si="5"/>
        <v>1397.8057180000001</v>
      </c>
      <c r="N29" s="82">
        <f t="shared" si="5"/>
        <v>1474.65</v>
      </c>
      <c r="O29" s="82">
        <f t="shared" si="5"/>
        <v>1551.03</v>
      </c>
      <c r="P29" s="82">
        <f t="shared" si="5"/>
        <v>1631.08</v>
      </c>
    </row>
    <row r="30" spans="1:16" ht="24.95" customHeight="1" x14ac:dyDescent="0.3">
      <c r="A30" s="84" t="s">
        <v>60</v>
      </c>
      <c r="B30" s="85">
        <v>251.47</v>
      </c>
      <c r="C30" s="85">
        <v>266.20999999999998</v>
      </c>
      <c r="D30" s="101">
        <v>304.757678</v>
      </c>
      <c r="E30" s="101">
        <v>334.842243</v>
      </c>
      <c r="F30" s="103">
        <v>368.522379</v>
      </c>
      <c r="G30" s="103">
        <v>400.843907</v>
      </c>
      <c r="H30" s="103">
        <v>418.06677999999999</v>
      </c>
      <c r="I30" s="103">
        <v>422.21491500000002</v>
      </c>
      <c r="J30" s="103">
        <v>451.24783400000001</v>
      </c>
      <c r="K30" s="103">
        <v>482.78120200000001</v>
      </c>
      <c r="L30" s="103">
        <v>682.90209300000004</v>
      </c>
      <c r="M30" s="103">
        <v>722.97232799999995</v>
      </c>
      <c r="N30" s="103">
        <v>764.32</v>
      </c>
      <c r="O30" s="103">
        <v>805.72</v>
      </c>
      <c r="P30" s="107">
        <v>850.23</v>
      </c>
    </row>
    <row r="31" spans="1:16" ht="24.95" customHeight="1" x14ac:dyDescent="0.3">
      <c r="A31" s="84" t="s">
        <v>61</v>
      </c>
      <c r="B31" s="85">
        <v>142.83000000000001</v>
      </c>
      <c r="C31" s="85">
        <v>150.47</v>
      </c>
      <c r="D31" s="101">
        <v>162.48431500000001</v>
      </c>
      <c r="E31" s="101">
        <v>175.499898</v>
      </c>
      <c r="F31" s="103">
        <v>192.26702299999999</v>
      </c>
      <c r="G31" s="103">
        <v>208.037387</v>
      </c>
      <c r="H31" s="103">
        <f>220.919716</f>
        <v>220.91971599999999</v>
      </c>
      <c r="I31" s="103">
        <v>240.31074799999999</v>
      </c>
      <c r="J31" s="103">
        <v>243.722037</v>
      </c>
      <c r="K31" s="103">
        <v>266.29387000000003</v>
      </c>
      <c r="L31" s="103">
        <v>386.546919</v>
      </c>
      <c r="M31" s="103">
        <v>433.53993800000001</v>
      </c>
      <c r="N31" s="103">
        <v>457.18</v>
      </c>
      <c r="O31" s="103">
        <v>482.25</v>
      </c>
      <c r="P31" s="107">
        <v>507.74</v>
      </c>
    </row>
    <row r="32" spans="1:16" ht="24.95" customHeight="1" x14ac:dyDescent="0.3">
      <c r="A32" s="84" t="s">
        <v>62</v>
      </c>
      <c r="B32" s="85">
        <v>96.75</v>
      </c>
      <c r="C32" s="85">
        <v>103.45</v>
      </c>
      <c r="D32" s="101">
        <v>121.60138999999999</v>
      </c>
      <c r="E32" s="101">
        <v>129.544083</v>
      </c>
      <c r="F32" s="101">
        <v>141.56728200000001</v>
      </c>
      <c r="G32" s="101">
        <v>149.99546100000001</v>
      </c>
      <c r="H32" s="101">
        <f>155.211504</f>
        <v>155.21150399999999</v>
      </c>
      <c r="I32" s="101">
        <v>169.21139099999999</v>
      </c>
      <c r="J32" s="101">
        <v>163.02096700000001</v>
      </c>
      <c r="K32" s="101">
        <v>173.258926</v>
      </c>
      <c r="L32" s="101">
        <v>234.12369000000001</v>
      </c>
      <c r="M32" s="101">
        <v>241.293452</v>
      </c>
      <c r="N32" s="101">
        <v>253.15</v>
      </c>
      <c r="O32" s="101">
        <v>263.06</v>
      </c>
      <c r="P32" s="107">
        <v>273.11</v>
      </c>
    </row>
    <row r="33" spans="1:16" ht="24.95" customHeight="1" x14ac:dyDescent="0.3">
      <c r="A33" s="83" t="s">
        <v>63</v>
      </c>
      <c r="B33" s="82">
        <v>4.0199999999999996</v>
      </c>
      <c r="C33" s="82">
        <v>1.57</v>
      </c>
      <c r="D33" s="82" t="s">
        <v>26</v>
      </c>
      <c r="E33" s="82" t="s">
        <v>26</v>
      </c>
      <c r="F33" s="82" t="s">
        <v>26</v>
      </c>
      <c r="G33" s="82" t="s">
        <v>26</v>
      </c>
      <c r="H33" s="82" t="s">
        <v>26</v>
      </c>
      <c r="I33" s="82" t="s">
        <v>26</v>
      </c>
      <c r="J33" s="82" t="s">
        <v>26</v>
      </c>
      <c r="K33" s="82" t="s">
        <v>26</v>
      </c>
      <c r="L33" s="82" t="s">
        <v>26</v>
      </c>
      <c r="M33" s="82" t="s">
        <v>26</v>
      </c>
      <c r="N33" s="82" t="s">
        <v>26</v>
      </c>
      <c r="O33" s="82" t="s">
        <v>26</v>
      </c>
    </row>
    <row r="34" spans="1:16" ht="24.95" customHeight="1" x14ac:dyDescent="0.2">
      <c r="A34" s="86" t="s">
        <v>64</v>
      </c>
      <c r="B34" s="82">
        <f>SUM(B35,B42,B48,B52,B56)</f>
        <v>1119.32</v>
      </c>
      <c r="C34" s="82">
        <f t="shared" ref="C34:O34" si="6">SUM(C35,C42,C48,C52,C56)</f>
        <v>1152.1100000000001</v>
      </c>
      <c r="D34" s="82">
        <f t="shared" si="6"/>
        <v>1193.722115</v>
      </c>
      <c r="E34" s="82">
        <f t="shared" si="6"/>
        <v>1228.23065</v>
      </c>
      <c r="F34" s="82">
        <f t="shared" si="6"/>
        <v>1279.3237779999999</v>
      </c>
      <c r="G34" s="82">
        <f t="shared" si="6"/>
        <v>1312.4391979999998</v>
      </c>
      <c r="H34" s="82">
        <f t="shared" si="6"/>
        <v>1318.557701</v>
      </c>
      <c r="I34" s="82">
        <f t="shared" si="6"/>
        <v>1361.4816719999999</v>
      </c>
      <c r="J34" s="82">
        <f t="shared" si="6"/>
        <v>1388.668741</v>
      </c>
      <c r="K34" s="82">
        <f t="shared" si="6"/>
        <v>1419.5950650000002</v>
      </c>
      <c r="L34" s="82">
        <f t="shared" si="6"/>
        <v>1413.2452509999998</v>
      </c>
      <c r="M34" s="82">
        <f t="shared" si="6"/>
        <v>1416.9727420000002</v>
      </c>
      <c r="N34" s="82">
        <f t="shared" si="6"/>
        <v>1422.37</v>
      </c>
      <c r="O34" s="82">
        <f t="shared" si="6"/>
        <v>1629.3611820000003</v>
      </c>
      <c r="P34" s="82">
        <f t="shared" ref="P34" si="7">SUM(P35,P42,P48,P52,P56)</f>
        <v>1630.3600000000001</v>
      </c>
    </row>
    <row r="35" spans="1:16" ht="24.95" customHeight="1" x14ac:dyDescent="0.3">
      <c r="A35" s="83" t="s">
        <v>42</v>
      </c>
      <c r="B35" s="82">
        <f>SUM(B36:B41)</f>
        <v>708.58</v>
      </c>
      <c r="C35" s="82">
        <f t="shared" ref="C35:O35" si="8">SUM(C36:C41)</f>
        <v>724.17</v>
      </c>
      <c r="D35" s="82">
        <f t="shared" si="8"/>
        <v>740.06449700000007</v>
      </c>
      <c r="E35" s="82">
        <f t="shared" si="8"/>
        <v>753.68018200000006</v>
      </c>
      <c r="F35" s="82">
        <f>SUM(F36:F41)</f>
        <v>776.81094500000006</v>
      </c>
      <c r="G35" s="82">
        <f t="shared" si="8"/>
        <v>791.82222999999999</v>
      </c>
      <c r="H35" s="82">
        <f t="shared" si="8"/>
        <v>789.22405400000002</v>
      </c>
      <c r="I35" s="82">
        <f t="shared" si="8"/>
        <v>828.16746000000001</v>
      </c>
      <c r="J35" s="82">
        <f t="shared" si="8"/>
        <v>860.61458000000005</v>
      </c>
      <c r="K35" s="82">
        <f t="shared" si="8"/>
        <v>866.39530200000013</v>
      </c>
      <c r="L35" s="82">
        <f t="shared" si="8"/>
        <v>792.19832800000006</v>
      </c>
      <c r="M35" s="82">
        <f t="shared" si="8"/>
        <v>779.88538200000005</v>
      </c>
      <c r="N35" s="82">
        <f t="shared" si="8"/>
        <v>772.26</v>
      </c>
      <c r="O35" s="104">
        <f t="shared" si="8"/>
        <v>962.12118200000009</v>
      </c>
      <c r="P35" s="104">
        <f t="shared" ref="P35" si="9">SUM(P36:P41)</f>
        <v>952.4</v>
      </c>
    </row>
    <row r="36" spans="1:16" ht="24.95" customHeight="1" x14ac:dyDescent="0.3">
      <c r="A36" s="84" t="s">
        <v>43</v>
      </c>
      <c r="B36" s="85">
        <v>248.85</v>
      </c>
      <c r="C36" s="85">
        <v>253.95</v>
      </c>
      <c r="D36" s="103">
        <f>220.77019+38.142598</f>
        <v>258.91278800000003</v>
      </c>
      <c r="E36" s="103">
        <f>225.860042+37.681556</f>
        <v>263.54159800000002</v>
      </c>
      <c r="F36" s="103">
        <f>38.940012+229.192095</f>
        <v>268.13210700000002</v>
      </c>
      <c r="G36" s="103">
        <f>231.987428+40.163961</f>
        <v>272.15138899999999</v>
      </c>
      <c r="H36" s="103">
        <f>229.247762+40.529208</f>
        <v>269.77697000000001</v>
      </c>
      <c r="I36" s="103">
        <f>232.816415+41.911105</f>
        <v>274.72752000000003</v>
      </c>
      <c r="J36" s="103">
        <f>233.129468+42.29437</f>
        <v>275.42383799999999</v>
      </c>
      <c r="K36" s="103">
        <f>232.404328+42.485185</f>
        <v>274.88951299999997</v>
      </c>
      <c r="L36" s="103">
        <v>272.66178100000002</v>
      </c>
      <c r="M36" s="103">
        <f>234.432137+39.645617</f>
        <v>274.07775400000003</v>
      </c>
      <c r="N36" s="103">
        <v>257.14999999999998</v>
      </c>
      <c r="O36" s="103">
        <v>253.49</v>
      </c>
      <c r="P36" s="107">
        <v>247.26</v>
      </c>
    </row>
    <row r="37" spans="1:16" ht="24.95" customHeight="1" x14ac:dyDescent="0.3">
      <c r="A37" s="87" t="s">
        <v>44</v>
      </c>
      <c r="B37" s="88">
        <v>38.35</v>
      </c>
      <c r="C37" s="88">
        <v>39.200000000000003</v>
      </c>
      <c r="D37" s="103">
        <v>40.356485999999997</v>
      </c>
      <c r="E37" s="103">
        <v>41.078048000000003</v>
      </c>
      <c r="F37" s="103">
        <v>42.211519000000003</v>
      </c>
      <c r="G37" s="103">
        <v>43.092289999999998</v>
      </c>
      <c r="H37" s="103">
        <v>42.933196000000002</v>
      </c>
      <c r="I37" s="103">
        <v>44.126213</v>
      </c>
      <c r="J37" s="103">
        <v>44.533245000000001</v>
      </c>
      <c r="K37" s="103">
        <v>44.818928</v>
      </c>
      <c r="L37" s="103">
        <v>44.185592999999997</v>
      </c>
      <c r="M37" s="103">
        <v>43.500041000000003</v>
      </c>
      <c r="N37" s="103">
        <v>42.59</v>
      </c>
      <c r="O37" s="103">
        <v>41.47</v>
      </c>
      <c r="P37" s="107">
        <v>40.49</v>
      </c>
    </row>
    <row r="38" spans="1:16" ht="24.95" customHeight="1" x14ac:dyDescent="0.2">
      <c r="A38" s="89" t="s">
        <v>45</v>
      </c>
      <c r="B38" s="90">
        <v>149.25</v>
      </c>
      <c r="C38" s="90">
        <v>153.13</v>
      </c>
      <c r="D38" s="101">
        <v>156.79901899999999</v>
      </c>
      <c r="E38" s="101">
        <v>160.38192000000001</v>
      </c>
      <c r="F38" s="101">
        <v>169.156903</v>
      </c>
      <c r="G38" s="101">
        <v>171.90106299999999</v>
      </c>
      <c r="H38" s="101">
        <v>172.96818999999999</v>
      </c>
      <c r="I38" s="101">
        <v>177.62559999999999</v>
      </c>
      <c r="J38" s="101">
        <v>180.38063700000001</v>
      </c>
      <c r="K38" s="101">
        <v>182.761617</v>
      </c>
      <c r="L38" s="101">
        <v>180.77991299999999</v>
      </c>
      <c r="M38" s="101">
        <v>179.764926</v>
      </c>
      <c r="N38" s="101">
        <v>179.38</v>
      </c>
      <c r="O38" s="101">
        <v>375.25</v>
      </c>
      <c r="P38" s="108">
        <v>373.88</v>
      </c>
    </row>
    <row r="39" spans="1:16" ht="24.95" customHeight="1" x14ac:dyDescent="0.3">
      <c r="A39" s="89" t="s">
        <v>46</v>
      </c>
      <c r="B39" s="90">
        <v>0.17</v>
      </c>
      <c r="C39" s="90">
        <v>0.17</v>
      </c>
      <c r="D39" s="103">
        <v>0.16727300000000001</v>
      </c>
      <c r="E39" s="103">
        <v>0.17557</v>
      </c>
      <c r="F39" s="103">
        <v>0.178508</v>
      </c>
      <c r="G39" s="103">
        <v>0.18287500000000001</v>
      </c>
      <c r="H39" s="103">
        <v>0.19686899999999999</v>
      </c>
      <c r="I39" s="103">
        <v>0.25107299999999999</v>
      </c>
      <c r="J39" s="103">
        <v>0.23175000000000001</v>
      </c>
      <c r="K39" s="103">
        <v>0.19395599999999999</v>
      </c>
      <c r="L39" s="103">
        <v>0.17002700000000001</v>
      </c>
      <c r="M39" s="103">
        <v>0.15861</v>
      </c>
      <c r="N39" s="103">
        <v>0.17</v>
      </c>
      <c r="O39" s="103">
        <v>0.171182</v>
      </c>
      <c r="P39" s="107">
        <v>0.15</v>
      </c>
    </row>
    <row r="40" spans="1:16" ht="24.95" customHeight="1" x14ac:dyDescent="0.3">
      <c r="A40" s="89" t="s">
        <v>47</v>
      </c>
      <c r="B40" s="90">
        <v>268.75</v>
      </c>
      <c r="C40" s="90">
        <v>273.45999999999998</v>
      </c>
      <c r="D40" s="103">
        <f>211.935551+66.116493</f>
        <v>278.05204400000002</v>
      </c>
      <c r="E40" s="103">
        <f>214.890569+66.096507</f>
        <v>280.987076</v>
      </c>
      <c r="F40" s="103">
        <f>220.780723+66.959303</f>
        <v>287.740026</v>
      </c>
      <c r="G40" s="103">
        <f>226.096101+67.302608</f>
        <v>293.398709</v>
      </c>
      <c r="H40" s="103">
        <f>225.123491+65.526082</f>
        <v>290.64957300000003</v>
      </c>
      <c r="I40" s="103">
        <f>230.129524+65.191254</f>
        <v>295.32077800000002</v>
      </c>
      <c r="J40" s="103">
        <f>232.749267+64.340211</f>
        <v>297.08947799999999</v>
      </c>
      <c r="K40" s="103">
        <f>235.228704+62.962569</f>
        <v>298.19127300000002</v>
      </c>
      <c r="L40" s="103">
        <v>287.17081300000001</v>
      </c>
      <c r="M40" s="103">
        <v>274.26769200000001</v>
      </c>
      <c r="N40" s="103">
        <v>283.94</v>
      </c>
      <c r="O40" s="103">
        <v>281.89</v>
      </c>
      <c r="P40" s="107">
        <v>280.11</v>
      </c>
    </row>
    <row r="41" spans="1:16" ht="24.95" customHeight="1" x14ac:dyDescent="0.3">
      <c r="A41" s="89" t="s">
        <v>48</v>
      </c>
      <c r="B41" s="90">
        <v>3.21</v>
      </c>
      <c r="C41" s="90">
        <v>4.26</v>
      </c>
      <c r="D41" s="103">
        <v>5.7768870000000003</v>
      </c>
      <c r="E41" s="103">
        <v>7.5159700000000003</v>
      </c>
      <c r="F41" s="103">
        <v>9.3918820000000007</v>
      </c>
      <c r="G41" s="103">
        <v>11.095904000000001</v>
      </c>
      <c r="H41" s="103">
        <v>12.699256</v>
      </c>
      <c r="I41" s="103">
        <v>36.116275999999999</v>
      </c>
      <c r="J41" s="103">
        <v>62.955632000000001</v>
      </c>
      <c r="K41" s="103">
        <v>65.540014999999997</v>
      </c>
      <c r="L41" s="103">
        <v>7.2302010000000001</v>
      </c>
      <c r="M41" s="103">
        <v>8.1163589999999992</v>
      </c>
      <c r="N41" s="103">
        <v>9.0299999999999994</v>
      </c>
      <c r="O41" s="103">
        <v>9.85</v>
      </c>
      <c r="P41" s="107">
        <v>10.51</v>
      </c>
    </row>
    <row r="42" spans="1:16" ht="24.95" customHeight="1" x14ac:dyDescent="0.2">
      <c r="A42" s="91" t="s">
        <v>49</v>
      </c>
      <c r="B42" s="92">
        <f>SUM(B43:B47)</f>
        <v>35.720000000000006</v>
      </c>
      <c r="C42" s="92">
        <f t="shared" ref="C42:P42" si="10">SUM(C43:C47)</f>
        <v>38.340000000000003</v>
      </c>
      <c r="D42" s="92">
        <f t="shared" si="10"/>
        <v>40.636173999999997</v>
      </c>
      <c r="E42" s="92">
        <f t="shared" si="10"/>
        <v>43.283048000000001</v>
      </c>
      <c r="F42" s="92">
        <f t="shared" si="10"/>
        <v>48.023695999999994</v>
      </c>
      <c r="G42" s="92">
        <f t="shared" si="10"/>
        <v>50.094167999999996</v>
      </c>
      <c r="H42" s="92">
        <f t="shared" si="10"/>
        <v>52.573833999999998</v>
      </c>
      <c r="I42" s="92">
        <f t="shared" si="10"/>
        <v>55.711958000000003</v>
      </c>
      <c r="J42" s="92">
        <f t="shared" si="10"/>
        <v>57.861535000000003</v>
      </c>
      <c r="K42" s="92">
        <f t="shared" si="10"/>
        <v>64.680461999999991</v>
      </c>
      <c r="L42" s="92">
        <f t="shared" si="10"/>
        <v>70.658474999999996</v>
      </c>
      <c r="M42" s="92">
        <f t="shared" si="10"/>
        <v>72.387304999999998</v>
      </c>
      <c r="N42" s="92">
        <f t="shared" si="10"/>
        <v>77.719999999999985</v>
      </c>
      <c r="O42" s="92">
        <f t="shared" si="10"/>
        <v>90.439999999999984</v>
      </c>
      <c r="P42" s="92">
        <f t="shared" si="10"/>
        <v>99.02</v>
      </c>
    </row>
    <row r="43" spans="1:16" ht="24.95" customHeight="1" x14ac:dyDescent="0.3">
      <c r="A43" s="89" t="s">
        <v>50</v>
      </c>
      <c r="B43" s="90">
        <v>17.46</v>
      </c>
      <c r="C43" s="90">
        <v>18.649999999999999</v>
      </c>
      <c r="D43" s="101">
        <v>19.916499999999999</v>
      </c>
      <c r="E43" s="101">
        <v>21.457795999999998</v>
      </c>
      <c r="F43" s="101">
        <v>23.886925000000002</v>
      </c>
      <c r="G43" s="101">
        <v>25.069883999999998</v>
      </c>
      <c r="H43" s="101">
        <v>26.113786999999999</v>
      </c>
      <c r="I43" s="101">
        <v>27.961980000000001</v>
      </c>
      <c r="J43" s="101">
        <v>29.369662000000002</v>
      </c>
      <c r="K43" s="101">
        <v>34.855457999999999</v>
      </c>
      <c r="L43" s="101">
        <v>39.648356999999997</v>
      </c>
      <c r="M43" s="101">
        <v>40.433171999999999</v>
      </c>
      <c r="N43" s="101">
        <v>43.9</v>
      </c>
      <c r="O43" s="101">
        <v>55.2</v>
      </c>
      <c r="P43" s="107">
        <v>62.69</v>
      </c>
    </row>
    <row r="44" spans="1:16" ht="24.95" customHeight="1" x14ac:dyDescent="0.3">
      <c r="A44" s="89" t="s">
        <v>51</v>
      </c>
      <c r="B44" s="90">
        <v>9.0399999999999991</v>
      </c>
      <c r="C44" s="90">
        <v>9.9600000000000009</v>
      </c>
      <c r="D44" s="101">
        <v>10.658773999999999</v>
      </c>
      <c r="E44" s="101">
        <v>11.283693</v>
      </c>
      <c r="F44" s="101">
        <v>12.858924</v>
      </c>
      <c r="G44" s="101">
        <v>13.505641000000001</v>
      </c>
      <c r="H44" s="101">
        <v>13.752815</v>
      </c>
      <c r="I44" s="101">
        <v>14.315046000000001</v>
      </c>
      <c r="J44" s="101">
        <v>14.952857</v>
      </c>
      <c r="K44" s="101">
        <v>15.751267</v>
      </c>
      <c r="L44" s="101">
        <v>16.320643</v>
      </c>
      <c r="M44" s="101">
        <v>16.753364000000001</v>
      </c>
      <c r="N44" s="101">
        <v>18.11</v>
      </c>
      <c r="O44" s="101">
        <v>18.739999999999998</v>
      </c>
      <c r="P44" s="107">
        <v>19.29</v>
      </c>
    </row>
    <row r="45" spans="1:16" ht="24.95" customHeight="1" x14ac:dyDescent="0.3">
      <c r="A45" s="89" t="s">
        <v>52</v>
      </c>
      <c r="B45" s="90">
        <v>1.1599999999999999</v>
      </c>
      <c r="C45" s="90">
        <v>1.23</v>
      </c>
      <c r="D45" s="101">
        <v>1.3721410000000001</v>
      </c>
      <c r="E45" s="101">
        <v>1.4378329999999999</v>
      </c>
      <c r="F45" s="101">
        <v>1.573488</v>
      </c>
      <c r="G45" s="101">
        <v>1.6190469999999999</v>
      </c>
      <c r="H45" s="101">
        <v>1.6983299999999999</v>
      </c>
      <c r="I45" s="101">
        <v>1.8588290000000001</v>
      </c>
      <c r="J45" s="101">
        <v>1.9400630000000001</v>
      </c>
      <c r="K45" s="101">
        <v>1.987452</v>
      </c>
      <c r="L45" s="101">
        <v>2.188771</v>
      </c>
      <c r="M45" s="101">
        <v>2.3404530000000001</v>
      </c>
      <c r="N45" s="101">
        <v>2.56</v>
      </c>
      <c r="O45" s="101">
        <v>2.72</v>
      </c>
      <c r="P45" s="107">
        <v>3</v>
      </c>
    </row>
    <row r="46" spans="1:16" ht="24.95" customHeight="1" x14ac:dyDescent="0.3">
      <c r="A46" s="89" t="s">
        <v>53</v>
      </c>
      <c r="B46" s="90">
        <v>8.0399999999999991</v>
      </c>
      <c r="C46" s="90">
        <v>8.48</v>
      </c>
      <c r="D46" s="101">
        <v>8.6617519999999999</v>
      </c>
      <c r="E46" s="101">
        <v>9.0789410000000004</v>
      </c>
      <c r="F46" s="101">
        <v>9.6289569999999998</v>
      </c>
      <c r="G46" s="101">
        <v>9.8209529999999994</v>
      </c>
      <c r="H46" s="101">
        <v>10.156871000000001</v>
      </c>
      <c r="I46" s="101">
        <v>10.719156999999999</v>
      </c>
      <c r="J46" s="101">
        <v>10.892602999999999</v>
      </c>
      <c r="K46" s="101">
        <v>11.353846000000001</v>
      </c>
      <c r="L46" s="101">
        <v>11.597061</v>
      </c>
      <c r="M46" s="101">
        <v>11.843349</v>
      </c>
      <c r="N46" s="101">
        <v>12.02</v>
      </c>
      <c r="O46" s="101">
        <v>12.57</v>
      </c>
      <c r="P46" s="107">
        <v>12.75</v>
      </c>
    </row>
    <row r="47" spans="1:16" ht="24.95" customHeight="1" x14ac:dyDescent="0.3">
      <c r="A47" s="89" t="s">
        <v>54</v>
      </c>
      <c r="B47" s="90">
        <v>0.02</v>
      </c>
      <c r="C47" s="90">
        <v>0.02</v>
      </c>
      <c r="D47" s="101">
        <v>2.7007E-2</v>
      </c>
      <c r="E47" s="101">
        <v>2.4785000000000001E-2</v>
      </c>
      <c r="F47" s="101">
        <v>7.5401999999999997E-2</v>
      </c>
      <c r="G47" s="101">
        <v>7.8643000000000005E-2</v>
      </c>
      <c r="H47" s="101">
        <v>0.85203099999999998</v>
      </c>
      <c r="I47" s="101">
        <v>0.85694599999999999</v>
      </c>
      <c r="J47" s="101">
        <v>0.70635000000000003</v>
      </c>
      <c r="K47" s="101">
        <v>0.73243899999999995</v>
      </c>
      <c r="L47" s="101">
        <v>0.90364299999999997</v>
      </c>
      <c r="M47" s="101">
        <v>1.016967</v>
      </c>
      <c r="N47" s="101">
        <v>1.1299999999999999</v>
      </c>
      <c r="O47" s="101">
        <v>1.21</v>
      </c>
      <c r="P47" s="107">
        <v>1.29</v>
      </c>
    </row>
    <row r="48" spans="1:16" ht="24.95" customHeight="1" x14ac:dyDescent="0.2">
      <c r="A48" s="91" t="s">
        <v>55</v>
      </c>
      <c r="B48" s="92">
        <f>SUM(B49:B51)</f>
        <v>247.68</v>
      </c>
      <c r="C48" s="92">
        <f t="shared" ref="C48:P48" si="11">SUM(C49:C51)</f>
        <v>258.46999999999997</v>
      </c>
      <c r="D48" s="92">
        <f t="shared" si="11"/>
        <v>267.42921799999993</v>
      </c>
      <c r="E48" s="92">
        <f t="shared" si="11"/>
        <v>277.89177599999999</v>
      </c>
      <c r="F48" s="92">
        <f t="shared" si="11"/>
        <v>292.555992</v>
      </c>
      <c r="G48" s="92">
        <f t="shared" si="11"/>
        <v>303.50095099999999</v>
      </c>
      <c r="H48" s="92">
        <f t="shared" si="11"/>
        <v>308.90599199999997</v>
      </c>
      <c r="I48" s="92">
        <f t="shared" si="11"/>
        <v>324.56060400000001</v>
      </c>
      <c r="J48" s="92">
        <f t="shared" si="11"/>
        <v>337.44413199999997</v>
      </c>
      <c r="K48" s="92">
        <f t="shared" si="11"/>
        <v>353.66128200000003</v>
      </c>
      <c r="L48" s="92">
        <f t="shared" si="11"/>
        <v>356.91466100000002</v>
      </c>
      <c r="M48" s="92">
        <f t="shared" si="11"/>
        <v>363.85894500000006</v>
      </c>
      <c r="N48" s="92">
        <f t="shared" si="11"/>
        <v>371</v>
      </c>
      <c r="O48" s="92">
        <f t="shared" si="11"/>
        <v>372.39000000000004</v>
      </c>
      <c r="P48" s="92">
        <f t="shared" si="11"/>
        <v>373.6</v>
      </c>
    </row>
    <row r="49" spans="1:16" ht="24.95" customHeight="1" x14ac:dyDescent="0.3">
      <c r="A49" s="89" t="s">
        <v>56</v>
      </c>
      <c r="B49" s="90">
        <v>145.69999999999999</v>
      </c>
      <c r="C49" s="90">
        <v>151.12</v>
      </c>
      <c r="D49" s="101">
        <v>156.20140499999999</v>
      </c>
      <c r="E49" s="101">
        <v>162.59895399999999</v>
      </c>
      <c r="F49" s="101">
        <v>171.24277599999999</v>
      </c>
      <c r="G49" s="101">
        <v>177.32655299999999</v>
      </c>
      <c r="H49" s="101">
        <v>179.89228399999999</v>
      </c>
      <c r="I49" s="101">
        <v>188.6549</v>
      </c>
      <c r="J49" s="101">
        <v>196.84021999999999</v>
      </c>
      <c r="K49" s="101">
        <v>204.56789499999999</v>
      </c>
      <c r="L49" s="101">
        <v>206.60205400000001</v>
      </c>
      <c r="M49" s="101">
        <v>212.45605800000001</v>
      </c>
      <c r="N49" s="101">
        <v>215.13</v>
      </c>
      <c r="O49" s="101">
        <v>211.97</v>
      </c>
      <c r="P49" s="107">
        <v>210.65</v>
      </c>
    </row>
    <row r="50" spans="1:16" ht="24.95" customHeight="1" x14ac:dyDescent="0.3">
      <c r="A50" s="89" t="s">
        <v>57</v>
      </c>
      <c r="B50" s="90">
        <v>100.74</v>
      </c>
      <c r="C50" s="90">
        <v>106.08</v>
      </c>
      <c r="D50" s="101">
        <v>109.875564</v>
      </c>
      <c r="E50" s="101">
        <v>113.873363</v>
      </c>
      <c r="F50" s="101">
        <v>119.81729300000001</v>
      </c>
      <c r="G50" s="101">
        <v>124.791477</v>
      </c>
      <c r="H50" s="101">
        <v>127.639624</v>
      </c>
      <c r="I50" s="101">
        <v>134.47603000000001</v>
      </c>
      <c r="J50" s="101">
        <v>139.10239899999999</v>
      </c>
      <c r="K50" s="101">
        <v>147.53521499999999</v>
      </c>
      <c r="L50" s="101">
        <v>148.95039</v>
      </c>
      <c r="M50" s="101">
        <v>150.133443</v>
      </c>
      <c r="N50" s="101">
        <v>154.63</v>
      </c>
      <c r="O50" s="101">
        <v>159.26</v>
      </c>
      <c r="P50" s="107">
        <v>161.84</v>
      </c>
    </row>
    <row r="51" spans="1:16" ht="24.95" customHeight="1" x14ac:dyDescent="0.3">
      <c r="A51" s="89" t="s">
        <v>58</v>
      </c>
      <c r="B51" s="90">
        <v>1.24</v>
      </c>
      <c r="C51" s="90">
        <v>1.27</v>
      </c>
      <c r="D51" s="101">
        <v>1.352249</v>
      </c>
      <c r="E51" s="101">
        <v>1.419459</v>
      </c>
      <c r="F51" s="101">
        <v>1.4959229999999999</v>
      </c>
      <c r="G51" s="101">
        <v>1.3829210000000001</v>
      </c>
      <c r="H51" s="101">
        <v>1.3740840000000001</v>
      </c>
      <c r="I51" s="101">
        <v>1.4296739999999999</v>
      </c>
      <c r="J51" s="101">
        <v>1.5015130000000001</v>
      </c>
      <c r="K51" s="101">
        <v>1.5581719999999999</v>
      </c>
      <c r="L51" s="101">
        <v>1.362217</v>
      </c>
      <c r="M51" s="101">
        <v>1.269444</v>
      </c>
      <c r="N51" s="101">
        <v>1.24</v>
      </c>
      <c r="O51" s="101">
        <v>1.1599999999999999</v>
      </c>
      <c r="P51" s="107">
        <v>1.1100000000000001</v>
      </c>
    </row>
    <row r="52" spans="1:16" ht="24.95" customHeight="1" x14ac:dyDescent="0.2">
      <c r="A52" s="91" t="s">
        <v>59</v>
      </c>
      <c r="B52" s="92">
        <f>SUM(B53:B55)</f>
        <v>126.74</v>
      </c>
      <c r="C52" s="92">
        <f t="shared" ref="C52:M52" si="12">SUM(C53:C55)</f>
        <v>130.93</v>
      </c>
      <c r="D52" s="92">
        <f t="shared" si="12"/>
        <v>145.59222599999998</v>
      </c>
      <c r="E52" s="92">
        <f t="shared" si="12"/>
        <v>153.37564399999999</v>
      </c>
      <c r="F52" s="92">
        <f>SUM(F53:F55)</f>
        <v>161.933145</v>
      </c>
      <c r="G52" s="92">
        <f t="shared" si="12"/>
        <v>167.021849</v>
      </c>
      <c r="H52" s="92">
        <f t="shared" si="12"/>
        <v>167.85382100000001</v>
      </c>
      <c r="I52" s="92">
        <f t="shared" si="12"/>
        <v>153.04165</v>
      </c>
      <c r="J52" s="92">
        <f t="shared" si="12"/>
        <v>132.74849399999999</v>
      </c>
      <c r="K52" s="92">
        <f t="shared" si="12"/>
        <v>134.85801899999998</v>
      </c>
      <c r="L52" s="92">
        <f t="shared" si="12"/>
        <v>193.47378699999999</v>
      </c>
      <c r="M52" s="92">
        <f t="shared" si="12"/>
        <v>200.84110999999999</v>
      </c>
      <c r="N52" s="105">
        <f t="shared" ref="N52" si="13">SUM(N53:N55)</f>
        <v>201.39</v>
      </c>
      <c r="O52" s="105">
        <f t="shared" ref="O52:P52" si="14">SUM(O53:O55)</f>
        <v>204.41000000000003</v>
      </c>
      <c r="P52" s="105">
        <f t="shared" si="14"/>
        <v>205.34000000000003</v>
      </c>
    </row>
    <row r="53" spans="1:16" ht="24.95" customHeight="1" x14ac:dyDescent="0.3">
      <c r="A53" s="89" t="s">
        <v>60</v>
      </c>
      <c r="B53" s="90">
        <v>61.04</v>
      </c>
      <c r="C53" s="90">
        <v>63</v>
      </c>
      <c r="D53" s="101">
        <v>71.973057999999995</v>
      </c>
      <c r="E53" s="101">
        <v>77.876881999999995</v>
      </c>
      <c r="F53" s="101">
        <v>83.044122000000002</v>
      </c>
      <c r="G53" s="101">
        <v>86.716868000000005</v>
      </c>
      <c r="H53" s="101">
        <v>87.716164000000006</v>
      </c>
      <c r="I53" s="101">
        <v>73.801152999999999</v>
      </c>
      <c r="J53" s="101">
        <v>71.988680000000002</v>
      </c>
      <c r="K53" s="101">
        <v>73.258236999999994</v>
      </c>
      <c r="L53" s="101">
        <v>101.61256299999999</v>
      </c>
      <c r="M53" s="101">
        <v>102.00381899999999</v>
      </c>
      <c r="N53" s="101">
        <v>103.13</v>
      </c>
      <c r="O53" s="101">
        <v>104.26</v>
      </c>
      <c r="P53" s="107">
        <v>105</v>
      </c>
    </row>
    <row r="54" spans="1:16" ht="24.95" customHeight="1" x14ac:dyDescent="0.3">
      <c r="A54" s="89" t="s">
        <v>61</v>
      </c>
      <c r="B54" s="90">
        <v>47.87</v>
      </c>
      <c r="C54" s="90">
        <v>49.1</v>
      </c>
      <c r="D54" s="101">
        <v>50.651324000000002</v>
      </c>
      <c r="E54" s="101">
        <v>51.648696999999999</v>
      </c>
      <c r="F54" s="101">
        <v>53.255063</v>
      </c>
      <c r="G54" s="101">
        <v>54.42559</v>
      </c>
      <c r="H54" s="101">
        <v>54.110694000000002</v>
      </c>
      <c r="I54" s="101">
        <v>55.106000999999999</v>
      </c>
      <c r="J54" s="101">
        <v>42.753754000000001</v>
      </c>
      <c r="K54" s="101">
        <v>43.195782999999999</v>
      </c>
      <c r="L54" s="101">
        <v>61.242468000000002</v>
      </c>
      <c r="M54" s="101">
        <v>67.908771000000002</v>
      </c>
      <c r="N54" s="101">
        <v>67.37</v>
      </c>
      <c r="O54" s="101">
        <v>68.59</v>
      </c>
      <c r="P54" s="107">
        <v>69.040000000000006</v>
      </c>
    </row>
    <row r="55" spans="1:16" ht="24.95" customHeight="1" x14ac:dyDescent="0.3">
      <c r="A55" s="89" t="s">
        <v>62</v>
      </c>
      <c r="B55" s="90">
        <v>17.829999999999998</v>
      </c>
      <c r="C55" s="90">
        <v>18.829999999999998</v>
      </c>
      <c r="D55" s="101">
        <v>22.967843999999999</v>
      </c>
      <c r="E55" s="101">
        <v>23.850065000000001</v>
      </c>
      <c r="F55" s="101">
        <v>25.633959999999998</v>
      </c>
      <c r="G55" s="101">
        <v>25.879390999999998</v>
      </c>
      <c r="H55" s="101">
        <v>26.026962999999999</v>
      </c>
      <c r="I55" s="101">
        <v>24.134495999999999</v>
      </c>
      <c r="J55" s="101">
        <v>18.006060000000002</v>
      </c>
      <c r="K55" s="101">
        <v>18.403998999999999</v>
      </c>
      <c r="L55" s="101">
        <v>30.618756000000001</v>
      </c>
      <c r="M55" s="101">
        <v>30.928519999999999</v>
      </c>
      <c r="N55" s="101">
        <v>30.89</v>
      </c>
      <c r="O55" s="101">
        <v>31.56</v>
      </c>
      <c r="P55" s="107">
        <v>31.3</v>
      </c>
    </row>
    <row r="56" spans="1:16" ht="24.95" customHeight="1" thickBot="1" x14ac:dyDescent="0.25">
      <c r="A56" s="91" t="s">
        <v>63</v>
      </c>
      <c r="B56" s="92">
        <v>0.6</v>
      </c>
      <c r="C56" s="92">
        <v>0.2</v>
      </c>
      <c r="D56" s="92" t="s">
        <v>26</v>
      </c>
      <c r="E56" s="92" t="s">
        <v>26</v>
      </c>
      <c r="F56" s="92" t="s">
        <v>26</v>
      </c>
      <c r="G56" s="92" t="s">
        <v>26</v>
      </c>
      <c r="H56" s="92" t="s">
        <v>26</v>
      </c>
      <c r="I56" s="92" t="s">
        <v>26</v>
      </c>
      <c r="J56" s="92" t="s">
        <v>99</v>
      </c>
      <c r="K56" s="92" t="s">
        <v>26</v>
      </c>
      <c r="L56" s="92" t="s">
        <v>26</v>
      </c>
      <c r="M56" s="92" t="s">
        <v>26</v>
      </c>
      <c r="N56" s="92" t="s">
        <v>26</v>
      </c>
      <c r="O56" s="95"/>
      <c r="P56" s="92" t="s">
        <v>26</v>
      </c>
    </row>
    <row r="57" spans="1:16" ht="24.95" customHeight="1" x14ac:dyDescent="0.2">
      <c r="A57" s="93" t="s">
        <v>65</v>
      </c>
      <c r="B57" s="94">
        <f>SUM(B11,B34)</f>
        <v>7330.0199999999995</v>
      </c>
      <c r="C57" s="94">
        <f t="shared" ref="C57:P57" si="15">SUM(C11,C34)</f>
        <v>7817.8599999999988</v>
      </c>
      <c r="D57" s="94">
        <f t="shared" si="15"/>
        <v>8296.7916409999998</v>
      </c>
      <c r="E57" s="94">
        <f t="shared" si="15"/>
        <v>8780.791518</v>
      </c>
      <c r="F57" s="94">
        <f t="shared" si="15"/>
        <v>9456.5958410000021</v>
      </c>
      <c r="G57" s="94">
        <f t="shared" si="15"/>
        <v>9983.4174139999996</v>
      </c>
      <c r="H57" s="94">
        <f t="shared" si="15"/>
        <v>10342.898348000001</v>
      </c>
      <c r="I57" s="94">
        <f t="shared" si="15"/>
        <v>11020.993134999999</v>
      </c>
      <c r="J57" s="94">
        <f t="shared" si="15"/>
        <v>11647.213295</v>
      </c>
      <c r="K57" s="94">
        <f t="shared" si="15"/>
        <v>12335.855937999999</v>
      </c>
      <c r="L57" s="94">
        <f t="shared" si="15"/>
        <v>12740.410314999999</v>
      </c>
      <c r="M57" s="94">
        <f t="shared" si="15"/>
        <v>13173.104928999999</v>
      </c>
      <c r="N57" s="94">
        <f t="shared" si="15"/>
        <v>13662.07</v>
      </c>
      <c r="O57" s="94">
        <f>O11+O34</f>
        <v>15306.501182000002</v>
      </c>
      <c r="P57" s="94">
        <f t="shared" si="15"/>
        <v>15763.19</v>
      </c>
    </row>
    <row r="58" spans="1:16" ht="24.95" customHeight="1" x14ac:dyDescent="0.2">
      <c r="A58" s="96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</row>
    <row r="59" spans="1:16" ht="24.95" customHeight="1" x14ac:dyDescent="0.2"/>
    <row r="60" spans="1:16" ht="24.95" customHeight="1" x14ac:dyDescent="0.2"/>
    <row r="61" spans="1:16" ht="24.95" customHeight="1" x14ac:dyDescent="0.2"/>
    <row r="62" spans="1:16" ht="24.95" customHeight="1" x14ac:dyDescent="0.2"/>
    <row r="63" spans="1:16" ht="24.95" customHeight="1" x14ac:dyDescent="0.2"/>
    <row r="64" spans="1:16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</sheetData>
  <customSheetViews>
    <customSheetView guid="{4BA530B0-00CD-4136-A5A2-BE4A69A338F8}" showGridLines="0" hiddenColumns="1" topLeftCell="B1">
      <selection activeCell="C8" sqref="C8"/>
      <pageMargins left="0.7" right="0.7" top="0.75" bottom="0.75" header="0.3" footer="0.3"/>
      <pageSetup paperSize="9" orientation="portrait" r:id="rId1"/>
    </customSheetView>
    <customSheetView guid="{7E13D3E2-9E38-4059-9599-2E41C6DC7CAD}" showGridLines="0" hiddenColumns="1">
      <selection activeCell="B1" sqref="B1:B1048576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V-C-7 (1976-1986)</vt:lpstr>
      <vt:lpstr>V-C-7 (1987-1996)</vt:lpstr>
      <vt:lpstr>V-C-7 (1997-2003)</vt:lpstr>
      <vt:lpstr>V-C-7 (2004-2018)</vt:lpstr>
      <vt:lpstr>'V-C-7 (1976-1986)'!Afdrukbereik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2020-06-15T12:21:06Z</dcterms:created>
  <dcterms:modified xsi:type="dcterms:W3CDTF">2020-06-15T12:21:10Z</dcterms:modified>
</cp:coreProperties>
</file>