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4F08D1D8-C592-48E3-A96D-90E45D3EE194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II-A-7" sheetId="39" r:id="rId1"/>
  </sheets>
  <definedNames>
    <definedName name="_xlnm.Print_Area" localSheetId="0">'II-A-7'!$A$2:$D$140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'II-A-7'!#REF!</definedName>
    <definedName name="Z_0E955206_716B_452B_855D_D21006127D1F_.wvu.PrintArea" localSheetId="0" hidden="1">'II-A-7'!$A$10:$E$140</definedName>
    <definedName name="Z_0E955206_716B_452B_855D_D21006127D1F_.wvu.Rows" localSheetId="0" hidden="1">'II-A-7'!#REF!,'II-A-7'!$10:$10,'II-A-7'!#REF!,'II-A-7'!#REF!,'II-A-7'!$135:$135</definedName>
    <definedName name="Z_213E50C8_D915_47E6_8FE2_DC92B3E1A45E_.wvu.Cols" localSheetId="0" hidden="1">'II-A-7'!$A:$A</definedName>
    <definedName name="Z_213E50C8_D915_47E6_8FE2_DC92B3E1A45E_.wvu.PrintArea" localSheetId="0" hidden="1">'II-A-7'!$A$2:$D$140</definedName>
    <definedName name="Z_213E50C8_D915_47E6_8FE2_DC92B3E1A45E_.wvu.Rows" localSheetId="0" hidden="1">'II-A-7'!#REF!</definedName>
    <definedName name="Z_38E1BB7F_6B2C_47FA_B8EF_48692DCFF448_.wvu.PrintArea" localSheetId="0" hidden="1">'II-A-7'!$A$10:$E$143</definedName>
    <definedName name="Z_509236D2_234F_4D94_B898_730043398560_.wvu.Cols" localSheetId="0" hidden="1">'II-A-7'!#REF!</definedName>
    <definedName name="Z_509236D2_234F_4D94_B898_730043398560_.wvu.Rows" localSheetId="0" hidden="1">'II-A-7'!#REF!</definedName>
    <definedName name="Z_55E504A0_A194_4D30_979F_2A59828375F0_.wvu.Cols" localSheetId="0" hidden="1">'II-A-7'!$A:$A,'II-A-7'!#REF!</definedName>
    <definedName name="Z_55E504A0_A194_4D30_979F_2A59828375F0_.wvu.PrintArea" localSheetId="0" hidden="1">'II-A-7'!$B$2:$C$140</definedName>
    <definedName name="Z_55E504A0_A194_4D30_979F_2A59828375F0_.wvu.Rows" localSheetId="0" hidden="1">'II-A-7'!#REF!</definedName>
    <definedName name="Z_7729C087_579D_4488_8235_730A8C5A89E1_.wvu.Cols" localSheetId="0" hidden="1">'II-A-7'!#REF!</definedName>
    <definedName name="Z_7729C087_579D_4488_8235_730A8C5A89E1_.wvu.PrintArea" localSheetId="0" hidden="1">'II-A-7'!$A$10:$E$141</definedName>
    <definedName name="Z_7729C087_579D_4488_8235_730A8C5A89E1_.wvu.Rows" localSheetId="0" hidden="1">'II-A-7'!#REF!</definedName>
    <definedName name="Z_8BE90383_D74B_4FE7_A1AC_2D96D21C4696_.wvu.Cols" localSheetId="0" hidden="1">'II-A-7'!$A:$A,'II-A-7'!#REF!</definedName>
    <definedName name="Z_8BE90383_D74B_4FE7_A1AC_2D96D21C4696_.wvu.PrintArea" localSheetId="0" hidden="1">'II-A-7'!$A$10:$E$140</definedName>
    <definedName name="Z_8BE90383_D74B_4FE7_A1AC_2D96D21C4696_.wvu.Rows" localSheetId="0" hidden="1">'II-A-7'!#REF!,'II-A-7'!#REF!,'II-A-7'!#REF!,'II-A-7'!#REF!,'II-A-7'!#REF!,'II-A-7'!#REF!</definedName>
    <definedName name="Z_99C9E3E5_F007_46DF_8740_08113C065C51_.wvu.Cols" localSheetId="0" hidden="1">'II-A-7'!#REF!</definedName>
    <definedName name="Z_99C9E3E5_F007_46DF_8740_08113C065C51_.wvu.PrintArea" localSheetId="0" hidden="1">'II-A-7'!$A$10:$E$140</definedName>
    <definedName name="Z_99C9E3E5_F007_46DF_8740_08113C065C51_.wvu.Rows" localSheetId="0" hidden="1">'II-A-7'!#REF!,'II-A-7'!$10:$10,'II-A-7'!#REF!,'II-A-7'!#REF!,'II-A-7'!$135:$135</definedName>
    <definedName name="Z_CA7C2C2C_E5EA_4A5E_9700_A7E8D1C87485_.wvu.PrintArea" localSheetId="0" hidden="1">'II-A-7'!$B$10:$D$140</definedName>
    <definedName name="Z_CD760E4D_1A52_4878_B3BC_344C3C3F7DF0_.wvu.Cols" localSheetId="0" hidden="1">'II-A-7'!#REF!</definedName>
    <definedName name="Z_CD760E4D_1A52_4878_B3BC_344C3C3F7DF0_.wvu.PrintArea" localSheetId="0" hidden="1">'II-A-7'!$A$2:$D$140</definedName>
    <definedName name="Z_CD760E4D_1A52_4878_B3BC_344C3C3F7DF0_.wvu.Rows" localSheetId="0" hidden="1">'II-A-7'!#REF!</definedName>
    <definedName name="Z_D9CC8C55_E3F7_4B53_993D_3030D1A4DB08_.wvu.Cols" localSheetId="0" hidden="1">'II-A-7'!#REF!</definedName>
    <definedName name="Z_D9CC8C55_E3F7_4B53_993D_3030D1A4DB08_.wvu.PrintArea" localSheetId="0" hidden="1">'II-A-7'!$A$10:$E$141</definedName>
    <definedName name="Z_D9CC8C55_E3F7_4B53_993D_3030D1A4DB08_.wvu.Rows" localSheetId="0" hidden="1">'II-A-7'!#REF!</definedName>
    <definedName name="Z_F16144FC_04A6_48BC_B28E_2B30DEF3F66E_.wvu.Cols" localSheetId="0" hidden="1">'II-A-7'!#REF!</definedName>
    <definedName name="Z_F16144FC_04A6_48BC_B28E_2B30DEF3F66E_.wvu.PrintArea" localSheetId="0" hidden="1">'II-A-7'!$A$2:$D$140</definedName>
    <definedName name="Z_F16144FC_04A6_48BC_B28E_2B30DEF3F66E_.wvu.Rows" localSheetId="0" hidden="1">'II-A-7'!#REF!</definedName>
    <definedName name="Z_FE2317E1_3300_488D_A0D1_F3637A11C263_.wvu.Cols" localSheetId="0" hidden="1">'II-A-7'!$A:$A,'II-A-7'!#REF!</definedName>
    <definedName name="Z_FE2317E1_3300_488D_A0D1_F3637A11C263_.wvu.PrintArea" localSheetId="0" hidden="1">'II-A-7'!$A$10:$E$140</definedName>
    <definedName name="Z_FE2317E1_3300_488D_A0D1_F3637A11C263_.wvu.Rows" localSheetId="0" hidden="1">'II-A-7'!#REF!,'II-A-7'!#REF!,'II-A-7'!#REF!,'II-A-7'!#REF!,'II-A-7'!#REF!,'II-A-7'!#REF!</definedName>
  </definedNames>
  <calcPr calcId="191029"/>
  <customWorkbookViews>
    <customWorkbookView name="FR" guid="{213E50C8-D915-47E6-8FE2-DC92B3E1A45E}" maximized="1" xWindow="-9" yWindow="-9" windowWidth="1938" windowHeight="1050" activeSheetId="39"/>
    <customWorkbookView name="NL" guid="{CD760E4D-1A52-4878-B3BC-344C3C3F7DF0}" maximized="1" xWindow="-9" yWindow="-9" windowWidth="1938" windowHeight="1048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30" i="39" l="1"/>
  <c r="AW130" i="39"/>
  <c r="AX129" i="39"/>
  <c r="AW129" i="39"/>
  <c r="AX127" i="39"/>
  <c r="AW127" i="39"/>
  <c r="AX126" i="39"/>
  <c r="AX125" i="39" s="1"/>
  <c r="AW126" i="39"/>
  <c r="AX124" i="39"/>
  <c r="AW124" i="39"/>
  <c r="AX123" i="39"/>
  <c r="AW123" i="39"/>
  <c r="AX118" i="39"/>
  <c r="AW118" i="39"/>
  <c r="AX115" i="39"/>
  <c r="AW115" i="39"/>
  <c r="AX112" i="39"/>
  <c r="AW112" i="39"/>
  <c r="AX108" i="39"/>
  <c r="AW108" i="39"/>
  <c r="AX105" i="39"/>
  <c r="AW105" i="39"/>
  <c r="AX102" i="39"/>
  <c r="AW102" i="39"/>
  <c r="AX98" i="39"/>
  <c r="AW98" i="39"/>
  <c r="AX95" i="39"/>
  <c r="AW95" i="39"/>
  <c r="AX92" i="39"/>
  <c r="AW92" i="39"/>
  <c r="AX88" i="39"/>
  <c r="AW88" i="39"/>
  <c r="AX85" i="39"/>
  <c r="AW85" i="39"/>
  <c r="AX82" i="39"/>
  <c r="AW82" i="39"/>
  <c r="AX78" i="39"/>
  <c r="AW78" i="39"/>
  <c r="AX75" i="39"/>
  <c r="AW75" i="39"/>
  <c r="AX72" i="39"/>
  <c r="AW72" i="39"/>
  <c r="AX65" i="39"/>
  <c r="AW65" i="39"/>
  <c r="AX62" i="39"/>
  <c r="AW62" i="39"/>
  <c r="AX58" i="39"/>
  <c r="AW58" i="39"/>
  <c r="AX55" i="39"/>
  <c r="AW55" i="39"/>
  <c r="AX52" i="39"/>
  <c r="AW52" i="39"/>
  <c r="AX48" i="39"/>
  <c r="AW48" i="39"/>
  <c r="AX45" i="39"/>
  <c r="AW45" i="39"/>
  <c r="AX42" i="39"/>
  <c r="AW42" i="39"/>
  <c r="AX38" i="39"/>
  <c r="AW38" i="39"/>
  <c r="AX35" i="39"/>
  <c r="AW35" i="39"/>
  <c r="AX32" i="39"/>
  <c r="AW32" i="39"/>
  <c r="AX28" i="39"/>
  <c r="AW28" i="39"/>
  <c r="AX25" i="39"/>
  <c r="AW25" i="39"/>
  <c r="AX22" i="39"/>
  <c r="AW22" i="39"/>
  <c r="AX18" i="39"/>
  <c r="AW18" i="39"/>
  <c r="AX15" i="39"/>
  <c r="AW15" i="39"/>
  <c r="AX12" i="39"/>
  <c r="AW12" i="39"/>
  <c r="AW122" i="39" l="1"/>
  <c r="AW125" i="39"/>
  <c r="AX122" i="39"/>
  <c r="AW128" i="39"/>
  <c r="AX128" i="39"/>
  <c r="AJ118" i="39"/>
  <c r="AW121" i="39" l="1"/>
  <c r="AX121" i="39"/>
  <c r="Z119" i="39"/>
  <c r="Z109" i="39"/>
  <c r="Z99" i="39"/>
  <c r="Z90" i="39"/>
  <c r="Z89" i="39"/>
  <c r="Z79" i="39"/>
  <c r="Z70" i="39"/>
  <c r="Z69" i="39"/>
  <c r="Z63" i="39"/>
  <c r="Z60" i="39"/>
  <c r="Z59" i="39"/>
  <c r="Z50" i="39"/>
  <c r="Z49" i="39"/>
  <c r="Y119" i="39"/>
  <c r="Y110" i="39"/>
  <c r="Y109" i="39"/>
  <c r="Y100" i="39"/>
  <c r="Y99" i="39"/>
  <c r="Y90" i="39"/>
  <c r="Y89" i="39"/>
  <c r="Y80" i="39"/>
  <c r="Y79" i="39"/>
  <c r="Y70" i="39"/>
  <c r="Y69" i="39"/>
  <c r="Y60" i="39"/>
  <c r="Y59" i="39"/>
  <c r="Y49" i="39"/>
  <c r="Y39" i="39"/>
  <c r="X119" i="39"/>
  <c r="X110" i="39"/>
  <c r="X109" i="39"/>
  <c r="X100" i="39"/>
  <c r="X99" i="39"/>
  <c r="X90" i="39"/>
  <c r="X89" i="39"/>
  <c r="X83" i="39"/>
  <c r="X80" i="39"/>
  <c r="X79" i="39"/>
  <c r="X70" i="39"/>
  <c r="X69" i="39"/>
  <c r="X60" i="39"/>
  <c r="X59" i="39"/>
  <c r="X49" i="39"/>
  <c r="W119" i="39"/>
  <c r="W110" i="39"/>
  <c r="W109" i="39"/>
  <c r="W100" i="39"/>
  <c r="W99" i="39"/>
  <c r="W90" i="39"/>
  <c r="W89" i="39"/>
  <c r="W80" i="39"/>
  <c r="W79" i="39"/>
  <c r="W69" i="39"/>
  <c r="W60" i="39"/>
  <c r="W59" i="39"/>
  <c r="W49" i="39"/>
  <c r="W39" i="39"/>
  <c r="V120" i="39"/>
  <c r="V119" i="39"/>
  <c r="V110" i="39"/>
  <c r="V109" i="39"/>
  <c r="V100" i="39"/>
  <c r="V99" i="39"/>
  <c r="V90" i="39"/>
  <c r="V89" i="39"/>
  <c r="V80" i="39"/>
  <c r="V79" i="39"/>
  <c r="V70" i="39"/>
  <c r="V69" i="39"/>
  <c r="V60" i="39"/>
  <c r="V59" i="39"/>
  <c r="V49" i="39"/>
  <c r="V39" i="39"/>
  <c r="U119" i="39"/>
  <c r="U110" i="39"/>
  <c r="U109" i="39"/>
  <c r="U100" i="39"/>
  <c r="U99" i="39"/>
  <c r="U90" i="39"/>
  <c r="U89" i="39"/>
  <c r="U80" i="39"/>
  <c r="U79" i="39"/>
  <c r="U70" i="39"/>
  <c r="U69" i="39"/>
  <c r="U60" i="39"/>
  <c r="U59" i="39"/>
  <c r="U49" i="39"/>
  <c r="U39" i="39"/>
  <c r="U30" i="39"/>
  <c r="U29" i="39"/>
  <c r="T119" i="39"/>
  <c r="T110" i="39"/>
  <c r="T109" i="39"/>
  <c r="T100" i="39"/>
  <c r="T99" i="39"/>
  <c r="T90" i="39"/>
  <c r="T89" i="39"/>
  <c r="T80" i="39"/>
  <c r="T79" i="39"/>
  <c r="T70" i="39"/>
  <c r="T69" i="39"/>
  <c r="T60" i="39"/>
  <c r="T59" i="39"/>
  <c r="T49" i="39"/>
  <c r="T40" i="39"/>
  <c r="T39" i="39"/>
  <c r="T29" i="39"/>
  <c r="S119" i="39"/>
  <c r="S109" i="39"/>
  <c r="S100" i="39"/>
  <c r="S99" i="39"/>
  <c r="S89" i="39"/>
  <c r="S79" i="39"/>
  <c r="S78" i="39"/>
  <c r="S70" i="39"/>
  <c r="S69" i="39"/>
  <c r="S59" i="39"/>
  <c r="S49" i="39"/>
  <c r="S40" i="39"/>
  <c r="S39" i="39"/>
  <c r="R110" i="39"/>
  <c r="R109" i="39"/>
  <c r="R100" i="39" l="1"/>
  <c r="R99" i="39"/>
  <c r="R90" i="39"/>
  <c r="R89" i="39"/>
  <c r="R80" i="39"/>
  <c r="R79" i="39"/>
  <c r="R70" i="39"/>
  <c r="R69" i="39"/>
  <c r="R60" i="39"/>
  <c r="R59" i="39"/>
  <c r="R49" i="39"/>
  <c r="R39" i="39"/>
  <c r="Q119" i="39"/>
  <c r="Q109" i="39"/>
  <c r="Q110" i="39"/>
  <c r="Q100" i="39"/>
  <c r="Q99" i="39"/>
  <c r="Q90" i="39"/>
  <c r="Q89" i="39"/>
  <c r="Q80" i="39"/>
  <c r="Q79" i="39"/>
  <c r="Q70" i="39"/>
  <c r="Q69" i="39"/>
  <c r="Q60" i="39"/>
  <c r="Q59" i="39"/>
  <c r="Q50" i="39"/>
  <c r="Q49" i="39"/>
  <c r="Q40" i="39"/>
  <c r="Q39" i="39"/>
  <c r="Q18" i="39"/>
  <c r="P110" i="39"/>
  <c r="P109" i="39"/>
  <c r="P100" i="39"/>
  <c r="P99" i="39"/>
  <c r="P90" i="39"/>
  <c r="P89" i="39"/>
  <c r="P79" i="39"/>
  <c r="P70" i="39"/>
  <c r="P69" i="39"/>
  <c r="P60" i="39"/>
  <c r="P59" i="39"/>
  <c r="P49" i="39" l="1"/>
  <c r="O119" i="39"/>
  <c r="O110" i="39"/>
  <c r="O109" i="39"/>
  <c r="O100" i="39"/>
  <c r="O99" i="39"/>
  <c r="O90" i="39"/>
  <c r="O89" i="39"/>
  <c r="O80" i="39"/>
  <c r="O79" i="39"/>
  <c r="O70" i="39"/>
  <c r="O69" i="39"/>
  <c r="O60" i="39"/>
  <c r="O59" i="39"/>
  <c r="O49" i="39"/>
  <c r="O40" i="39"/>
  <c r="O39" i="39"/>
  <c r="N110" i="39"/>
  <c r="N109" i="39"/>
  <c r="N100" i="39"/>
  <c r="N99" i="39"/>
  <c r="N90" i="39"/>
  <c r="N89" i="39"/>
  <c r="N80" i="39"/>
  <c r="N79" i="39"/>
  <c r="N69" i="39"/>
  <c r="N59" i="39"/>
  <c r="N49" i="39"/>
  <c r="N29" i="39"/>
  <c r="M119" i="39"/>
  <c r="M110" i="39"/>
  <c r="M109" i="39"/>
  <c r="M100" i="39"/>
  <c r="M99" i="39"/>
  <c r="M90" i="39"/>
  <c r="M89" i="39"/>
  <c r="M80" i="39"/>
  <c r="M79" i="39"/>
  <c r="M70" i="39"/>
  <c r="M69" i="39"/>
  <c r="M60" i="39"/>
  <c r="M59" i="39"/>
  <c r="M49" i="39"/>
  <c r="M39" i="39"/>
  <c r="L120" i="39"/>
  <c r="L119" i="39"/>
  <c r="L110" i="39"/>
  <c r="L109" i="39"/>
  <c r="L100" i="39"/>
  <c r="L99" i="39"/>
  <c r="L90" i="39"/>
  <c r="L89" i="39"/>
  <c r="L80" i="39"/>
  <c r="L79" i="39"/>
  <c r="L70" i="39"/>
  <c r="L69" i="39"/>
  <c r="L60" i="39"/>
  <c r="L59" i="39"/>
  <c r="K119" i="39" l="1"/>
  <c r="K110" i="39"/>
  <c r="K109" i="39"/>
  <c r="K100" i="39" l="1"/>
  <c r="K99" i="39"/>
  <c r="K90" i="39"/>
  <c r="K89" i="39"/>
  <c r="K80" i="39"/>
  <c r="K79" i="39"/>
  <c r="K70" i="39"/>
  <c r="K69" i="39"/>
  <c r="K60" i="39"/>
  <c r="K59" i="39"/>
  <c r="K49" i="39"/>
  <c r="J120" i="39" l="1"/>
  <c r="J119" i="39"/>
  <c r="J110" i="39"/>
  <c r="J109" i="39"/>
  <c r="J100" i="39"/>
  <c r="J99" i="39"/>
  <c r="J94" i="39"/>
  <c r="J90" i="39"/>
  <c r="J89" i="39"/>
  <c r="J80" i="39"/>
  <c r="J79" i="39"/>
  <c r="J70" i="39"/>
  <c r="J69" i="39"/>
  <c r="J60" i="39"/>
  <c r="J59" i="39"/>
  <c r="J50" i="39"/>
  <c r="J49" i="39"/>
  <c r="J40" i="39"/>
  <c r="J39" i="39"/>
  <c r="I119" i="39"/>
  <c r="I110" i="39"/>
  <c r="I109" i="39"/>
  <c r="I100" i="39"/>
  <c r="I99" i="39"/>
  <c r="I90" i="39"/>
  <c r="I89" i="39"/>
  <c r="I80" i="39"/>
  <c r="I79" i="39"/>
  <c r="I70" i="39"/>
  <c r="I69" i="39"/>
  <c r="I60" i="39"/>
  <c r="I59" i="39"/>
  <c r="I50" i="39"/>
  <c r="I49" i="39"/>
  <c r="H120" i="39"/>
  <c r="H119" i="39"/>
  <c r="H110" i="39"/>
  <c r="H109" i="39"/>
  <c r="H100" i="39"/>
  <c r="H99" i="39"/>
  <c r="H90" i="39"/>
  <c r="H89" i="39"/>
  <c r="H70" i="39"/>
  <c r="H69" i="39"/>
  <c r="H59" i="39"/>
  <c r="H60" i="39"/>
  <c r="H50" i="39"/>
  <c r="H49" i="39"/>
  <c r="H40" i="39"/>
  <c r="H39" i="39"/>
  <c r="H29" i="39"/>
  <c r="G120" i="39"/>
  <c r="G119" i="39"/>
  <c r="G110" i="39"/>
  <c r="G109" i="39"/>
  <c r="G100" i="39"/>
  <c r="G99" i="39"/>
  <c r="G90" i="39"/>
  <c r="G89" i="39"/>
  <c r="G79" i="39"/>
  <c r="G80" i="39"/>
  <c r="H80" i="39"/>
  <c r="H79" i="39"/>
  <c r="G70" i="39"/>
  <c r="G69" i="39"/>
  <c r="G60" i="39"/>
  <c r="G59" i="39"/>
  <c r="G50" i="39"/>
  <c r="G49" i="39"/>
  <c r="G40" i="39"/>
  <c r="G39" i="39"/>
  <c r="G30" i="39"/>
  <c r="G29" i="39"/>
  <c r="F120" i="39"/>
  <c r="F119" i="39"/>
  <c r="E120" i="39"/>
  <c r="E119" i="39"/>
  <c r="F110" i="39"/>
  <c r="F109" i="39"/>
  <c r="F100" i="39"/>
  <c r="F99" i="39"/>
  <c r="F90" i="39"/>
  <c r="F89" i="39"/>
  <c r="F80" i="39"/>
  <c r="F79" i="39"/>
  <c r="F70" i="39"/>
  <c r="F69" i="39"/>
  <c r="F60" i="39"/>
  <c r="F59" i="39"/>
  <c r="F50" i="39"/>
  <c r="F49" i="39"/>
  <c r="F40" i="39"/>
  <c r="F39" i="39"/>
  <c r="F29" i="39"/>
  <c r="E110" i="39"/>
  <c r="E109" i="39"/>
  <c r="E100" i="39"/>
  <c r="E99" i="39"/>
  <c r="E90" i="39"/>
  <c r="E89" i="39"/>
  <c r="E80" i="39"/>
  <c r="E79" i="39"/>
  <c r="E70" i="39"/>
  <c r="E69" i="39"/>
  <c r="E60" i="39"/>
  <c r="E59" i="39"/>
  <c r="E50" i="39"/>
  <c r="E49" i="39"/>
  <c r="E40" i="39"/>
  <c r="E39" i="39"/>
  <c r="E29" i="39"/>
  <c r="D119" i="39"/>
  <c r="D110" i="39"/>
  <c r="D109" i="39"/>
  <c r="D100" i="39"/>
  <c r="D99" i="39"/>
  <c r="D90" i="39"/>
  <c r="D89" i="39"/>
  <c r="E68" i="39" l="1"/>
  <c r="D80" i="39"/>
  <c r="D79" i="39"/>
  <c r="D69" i="39"/>
  <c r="D129" i="39" s="1"/>
  <c r="D70" i="39"/>
  <c r="D59" i="39"/>
  <c r="D123" i="39"/>
  <c r="E123" i="39"/>
  <c r="F123" i="39"/>
  <c r="G123" i="39"/>
  <c r="H123" i="39"/>
  <c r="I123" i="39"/>
  <c r="J123" i="39"/>
  <c r="K123" i="39"/>
  <c r="L123" i="39"/>
  <c r="M123" i="39"/>
  <c r="N123" i="39"/>
  <c r="O123" i="39"/>
  <c r="P123" i="39"/>
  <c r="Q123" i="39"/>
  <c r="R123" i="39"/>
  <c r="S123" i="39"/>
  <c r="T123" i="39"/>
  <c r="U123" i="39"/>
  <c r="V123" i="39"/>
  <c r="W123" i="39"/>
  <c r="X123" i="39"/>
  <c r="Y123" i="39"/>
  <c r="Z123" i="39"/>
  <c r="AA123" i="39"/>
  <c r="AB123" i="39"/>
  <c r="AC123" i="39"/>
  <c r="AD123" i="39"/>
  <c r="AE123" i="39"/>
  <c r="AF123" i="39"/>
  <c r="AG123" i="39"/>
  <c r="AH123" i="39"/>
  <c r="AI123" i="39"/>
  <c r="AJ123" i="39"/>
  <c r="AK123" i="39"/>
  <c r="AL123" i="39"/>
  <c r="AM123" i="39"/>
  <c r="AN123" i="39"/>
  <c r="AO123" i="39"/>
  <c r="AP123" i="39"/>
  <c r="AQ123" i="39"/>
  <c r="AR123" i="39"/>
  <c r="AS123" i="39"/>
  <c r="AT123" i="39"/>
  <c r="AU123" i="39"/>
  <c r="AV123" i="39"/>
  <c r="D124" i="39"/>
  <c r="E124" i="39"/>
  <c r="F124" i="39"/>
  <c r="G124" i="39"/>
  <c r="H124" i="39"/>
  <c r="I124" i="39"/>
  <c r="J124" i="39"/>
  <c r="K124" i="39"/>
  <c r="L124" i="39"/>
  <c r="M124" i="39"/>
  <c r="N124" i="39"/>
  <c r="O124" i="39"/>
  <c r="P124" i="39"/>
  <c r="Q124" i="39"/>
  <c r="R124" i="39"/>
  <c r="S124" i="39"/>
  <c r="T124" i="39"/>
  <c r="U124" i="39"/>
  <c r="V124" i="39"/>
  <c r="W124" i="39"/>
  <c r="X124" i="39"/>
  <c r="Y124" i="39"/>
  <c r="Z124" i="39"/>
  <c r="AA124" i="39"/>
  <c r="AB124" i="39"/>
  <c r="AC124" i="39"/>
  <c r="AD124" i="39"/>
  <c r="AE124" i="39"/>
  <c r="AF124" i="39"/>
  <c r="AG124" i="39"/>
  <c r="AH124" i="39"/>
  <c r="AI124" i="39"/>
  <c r="AJ124" i="39"/>
  <c r="AK124" i="39"/>
  <c r="AL124" i="39"/>
  <c r="AM124" i="39"/>
  <c r="AN124" i="39"/>
  <c r="AO124" i="39"/>
  <c r="AP124" i="39"/>
  <c r="AQ124" i="39"/>
  <c r="AR124" i="39"/>
  <c r="AS124" i="39"/>
  <c r="AT124" i="39"/>
  <c r="AU124" i="39"/>
  <c r="AV124" i="39"/>
  <c r="D126" i="39"/>
  <c r="E126" i="39"/>
  <c r="F126" i="39"/>
  <c r="G126" i="39"/>
  <c r="H126" i="39"/>
  <c r="I126" i="39"/>
  <c r="J126" i="39"/>
  <c r="K126" i="39"/>
  <c r="L126" i="39"/>
  <c r="M126" i="39"/>
  <c r="N126" i="39"/>
  <c r="O126" i="39"/>
  <c r="P126" i="39"/>
  <c r="Q126" i="39"/>
  <c r="R126" i="39"/>
  <c r="S126" i="39"/>
  <c r="T126" i="39"/>
  <c r="U126" i="39"/>
  <c r="V126" i="39"/>
  <c r="W126" i="39"/>
  <c r="X126" i="39"/>
  <c r="Y126" i="39"/>
  <c r="Z126" i="39"/>
  <c r="AA126" i="39"/>
  <c r="AB126" i="39"/>
  <c r="AC126" i="39"/>
  <c r="AD126" i="39"/>
  <c r="AE126" i="39"/>
  <c r="AF126" i="39"/>
  <c r="AG126" i="39"/>
  <c r="AH126" i="39"/>
  <c r="AI126" i="39"/>
  <c r="AJ126" i="39"/>
  <c r="AK126" i="39"/>
  <c r="AL126" i="39"/>
  <c r="AM126" i="39"/>
  <c r="AN126" i="39"/>
  <c r="AO126" i="39"/>
  <c r="AP126" i="39"/>
  <c r="AQ126" i="39"/>
  <c r="AR126" i="39"/>
  <c r="AS126" i="39"/>
  <c r="AT126" i="39"/>
  <c r="AU126" i="39"/>
  <c r="AV126" i="39"/>
  <c r="D127" i="39"/>
  <c r="E127" i="39"/>
  <c r="F127" i="39"/>
  <c r="G127" i="39"/>
  <c r="H127" i="39"/>
  <c r="I127" i="39"/>
  <c r="J127" i="39"/>
  <c r="K127" i="39"/>
  <c r="L127" i="39"/>
  <c r="M127" i="39"/>
  <c r="N127" i="39"/>
  <c r="O127" i="39"/>
  <c r="P127" i="39"/>
  <c r="Q127" i="39"/>
  <c r="R127" i="39"/>
  <c r="S127" i="39"/>
  <c r="T127" i="39"/>
  <c r="U127" i="39"/>
  <c r="V127" i="39"/>
  <c r="W127" i="39"/>
  <c r="X127" i="39"/>
  <c r="Y127" i="39"/>
  <c r="Z127" i="39"/>
  <c r="AA127" i="39"/>
  <c r="AB127" i="39"/>
  <c r="AC127" i="39"/>
  <c r="AD127" i="39"/>
  <c r="AE127" i="39"/>
  <c r="AF127" i="39"/>
  <c r="AG127" i="39"/>
  <c r="AH127" i="39"/>
  <c r="AI127" i="39"/>
  <c r="AJ127" i="39"/>
  <c r="AK127" i="39"/>
  <c r="AL127" i="39"/>
  <c r="AM127" i="39"/>
  <c r="AN127" i="39"/>
  <c r="AO127" i="39"/>
  <c r="AP127" i="39"/>
  <c r="AQ127" i="39"/>
  <c r="AR127" i="39"/>
  <c r="AS127" i="39"/>
  <c r="AT127" i="39"/>
  <c r="AU127" i="39"/>
  <c r="AV127" i="39"/>
  <c r="E129" i="39"/>
  <c r="F129" i="39"/>
  <c r="G129" i="39"/>
  <c r="H129" i="39"/>
  <c r="I129" i="39"/>
  <c r="J129" i="39"/>
  <c r="K129" i="39"/>
  <c r="L129" i="39"/>
  <c r="M129" i="39"/>
  <c r="N129" i="39"/>
  <c r="O129" i="39"/>
  <c r="P129" i="39"/>
  <c r="Q129" i="39"/>
  <c r="R129" i="39"/>
  <c r="S129" i="39"/>
  <c r="T129" i="39"/>
  <c r="U129" i="39"/>
  <c r="V129" i="39"/>
  <c r="W129" i="39"/>
  <c r="X129" i="39"/>
  <c r="Y129" i="39"/>
  <c r="Z129" i="39"/>
  <c r="AA129" i="39"/>
  <c r="AB129" i="39"/>
  <c r="AC129" i="39"/>
  <c r="AD129" i="39"/>
  <c r="AE129" i="39"/>
  <c r="AF129" i="39"/>
  <c r="AG129" i="39"/>
  <c r="AH129" i="39"/>
  <c r="AI129" i="39"/>
  <c r="AJ129" i="39"/>
  <c r="AK129" i="39"/>
  <c r="AL129" i="39"/>
  <c r="AM129" i="39"/>
  <c r="AN129" i="39"/>
  <c r="AO129" i="39"/>
  <c r="AP129" i="39"/>
  <c r="AQ129" i="39"/>
  <c r="AR129" i="39"/>
  <c r="AS129" i="39"/>
  <c r="AT129" i="39"/>
  <c r="AU129" i="39"/>
  <c r="AV129" i="39"/>
  <c r="E130" i="39"/>
  <c r="F130" i="39"/>
  <c r="G130" i="39"/>
  <c r="H130" i="39"/>
  <c r="I130" i="39"/>
  <c r="J130" i="39"/>
  <c r="K130" i="39"/>
  <c r="L130" i="39"/>
  <c r="M130" i="39"/>
  <c r="N130" i="39"/>
  <c r="O130" i="39"/>
  <c r="P130" i="39"/>
  <c r="Q130" i="39"/>
  <c r="R130" i="39"/>
  <c r="S130" i="39"/>
  <c r="T130" i="39"/>
  <c r="U130" i="39"/>
  <c r="V130" i="39"/>
  <c r="W130" i="39"/>
  <c r="X130" i="39"/>
  <c r="Y130" i="39"/>
  <c r="Z130" i="39"/>
  <c r="AA130" i="39"/>
  <c r="AB130" i="39"/>
  <c r="AC130" i="39"/>
  <c r="AD130" i="39"/>
  <c r="AE130" i="39"/>
  <c r="AF130" i="39"/>
  <c r="AG130" i="39"/>
  <c r="AH130" i="39"/>
  <c r="AI130" i="39"/>
  <c r="AJ130" i="39"/>
  <c r="AK130" i="39"/>
  <c r="AL130" i="39"/>
  <c r="AM130" i="39"/>
  <c r="AN130" i="39"/>
  <c r="AO130" i="39"/>
  <c r="AP130" i="39"/>
  <c r="AQ130" i="39"/>
  <c r="AR130" i="39"/>
  <c r="AS130" i="39"/>
  <c r="AT130" i="39"/>
  <c r="AU130" i="39"/>
  <c r="AV130" i="39"/>
  <c r="C123" i="39"/>
  <c r="C124" i="39"/>
  <c r="C126" i="39"/>
  <c r="C127" i="39"/>
  <c r="C129" i="39"/>
  <c r="C130" i="39"/>
  <c r="B130" i="39"/>
  <c r="B129" i="39"/>
  <c r="B127" i="39"/>
  <c r="B126" i="39"/>
  <c r="B124" i="39"/>
  <c r="B123" i="39"/>
  <c r="AV38" i="39"/>
  <c r="AU38" i="39"/>
  <c r="AT38" i="39"/>
  <c r="AS38" i="39"/>
  <c r="AR38" i="39"/>
  <c r="AQ38" i="39"/>
  <c r="AP38" i="39"/>
  <c r="AO38" i="39"/>
  <c r="AN38" i="39"/>
  <c r="AM38" i="39"/>
  <c r="AL38" i="39"/>
  <c r="AK38" i="39"/>
  <c r="AJ38" i="39"/>
  <c r="AI38" i="39"/>
  <c r="AH38" i="39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G38" i="39"/>
  <c r="F38" i="39"/>
  <c r="E38" i="39"/>
  <c r="D38" i="39"/>
  <c r="C38" i="39"/>
  <c r="AV35" i="39"/>
  <c r="AU35" i="39"/>
  <c r="AT35" i="39"/>
  <c r="AS35" i="39"/>
  <c r="AR35" i="39"/>
  <c r="AQ35" i="39"/>
  <c r="AP35" i="39"/>
  <c r="AO35" i="39"/>
  <c r="AN35" i="39"/>
  <c r="AM35" i="39"/>
  <c r="AL35" i="39"/>
  <c r="AK35" i="39"/>
  <c r="AJ35" i="39"/>
  <c r="AI35" i="39"/>
  <c r="AH35" i="39"/>
  <c r="AG35" i="39"/>
  <c r="AF35" i="39"/>
  <c r="AE35" i="39"/>
  <c r="AD35" i="39"/>
  <c r="AC35" i="39"/>
  <c r="AB35" i="39"/>
  <c r="AA35" i="39"/>
  <c r="Z35" i="39"/>
  <c r="Y35" i="39"/>
  <c r="X35" i="39"/>
  <c r="W35" i="39"/>
  <c r="V35" i="39"/>
  <c r="U35" i="39"/>
  <c r="T35" i="39"/>
  <c r="S35" i="39"/>
  <c r="R35" i="39"/>
  <c r="Q35" i="39"/>
  <c r="P35" i="39"/>
  <c r="O35" i="39"/>
  <c r="N35" i="39"/>
  <c r="M35" i="39"/>
  <c r="L35" i="39"/>
  <c r="K35" i="39"/>
  <c r="J35" i="39"/>
  <c r="I35" i="39"/>
  <c r="H35" i="39"/>
  <c r="G35" i="39"/>
  <c r="F35" i="39"/>
  <c r="E35" i="39"/>
  <c r="D35" i="39"/>
  <c r="C35" i="39"/>
  <c r="AV32" i="39"/>
  <c r="AU32" i="39"/>
  <c r="AT32" i="39"/>
  <c r="AS32" i="39"/>
  <c r="AR32" i="39"/>
  <c r="AQ32" i="39"/>
  <c r="AP32" i="39"/>
  <c r="AO32" i="39"/>
  <c r="AN32" i="39"/>
  <c r="AM32" i="39"/>
  <c r="AL32" i="39"/>
  <c r="AK32" i="39"/>
  <c r="AJ32" i="39"/>
  <c r="AI32" i="39"/>
  <c r="AH32" i="39"/>
  <c r="AG32" i="39"/>
  <c r="AF32" i="39"/>
  <c r="AE32" i="39"/>
  <c r="AD32" i="39"/>
  <c r="AC32" i="39"/>
  <c r="AB32" i="39"/>
  <c r="AA32" i="39"/>
  <c r="Z32" i="39"/>
  <c r="Y32" i="39"/>
  <c r="X32" i="39"/>
  <c r="W32" i="39"/>
  <c r="V32" i="39"/>
  <c r="U32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AV28" i="39"/>
  <c r="AU28" i="39"/>
  <c r="AT28" i="39"/>
  <c r="AS28" i="39"/>
  <c r="AR28" i="39"/>
  <c r="AQ28" i="39"/>
  <c r="AP28" i="39"/>
  <c r="AO28" i="39"/>
  <c r="AN28" i="39"/>
  <c r="AM28" i="39"/>
  <c r="AL28" i="39"/>
  <c r="AK28" i="39"/>
  <c r="AJ28" i="39"/>
  <c r="AI28" i="39"/>
  <c r="AH28" i="39"/>
  <c r="AG28" i="39"/>
  <c r="AF28" i="39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AV25" i="39"/>
  <c r="AU25" i="39"/>
  <c r="AT25" i="39"/>
  <c r="AS25" i="39"/>
  <c r="AR25" i="39"/>
  <c r="AQ25" i="39"/>
  <c r="AP25" i="39"/>
  <c r="AO25" i="39"/>
  <c r="AN25" i="39"/>
  <c r="AM25" i="39"/>
  <c r="AL25" i="39"/>
  <c r="AK25" i="39"/>
  <c r="AJ25" i="39"/>
  <c r="AI25" i="39"/>
  <c r="AH25" i="39"/>
  <c r="AG25" i="39"/>
  <c r="AF25" i="39"/>
  <c r="AE25" i="39"/>
  <c r="AD25" i="39"/>
  <c r="AC25" i="39"/>
  <c r="AB25" i="39"/>
  <c r="AA25" i="39"/>
  <c r="Z25" i="39"/>
  <c r="Y25" i="39"/>
  <c r="X25" i="39"/>
  <c r="W25" i="39"/>
  <c r="V25" i="39"/>
  <c r="U25" i="39"/>
  <c r="T25" i="39"/>
  <c r="S25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C25" i="39"/>
  <c r="AV22" i="39"/>
  <c r="AU22" i="39"/>
  <c r="AT22" i="39"/>
  <c r="AS22" i="39"/>
  <c r="AR22" i="39"/>
  <c r="AQ22" i="39"/>
  <c r="AP22" i="39"/>
  <c r="AO22" i="39"/>
  <c r="AN22" i="39"/>
  <c r="AM22" i="39"/>
  <c r="AL22" i="39"/>
  <c r="AK22" i="39"/>
  <c r="AJ22" i="39"/>
  <c r="AI22" i="39"/>
  <c r="AH22" i="39"/>
  <c r="AG22" i="39"/>
  <c r="AF22" i="39"/>
  <c r="AE22" i="39"/>
  <c r="AD22" i="39"/>
  <c r="AC22" i="39"/>
  <c r="AB22" i="39"/>
  <c r="AA22" i="39"/>
  <c r="Z22" i="39"/>
  <c r="Y22" i="39"/>
  <c r="X22" i="39"/>
  <c r="W22" i="39"/>
  <c r="V22" i="39"/>
  <c r="U22" i="39"/>
  <c r="T22" i="39"/>
  <c r="S22" i="39"/>
  <c r="R22" i="39"/>
  <c r="Q22" i="39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AV108" i="39"/>
  <c r="AU108" i="39"/>
  <c r="AT108" i="39"/>
  <c r="AS108" i="39"/>
  <c r="AR108" i="39"/>
  <c r="AQ108" i="39"/>
  <c r="AP108" i="39"/>
  <c r="AO108" i="39"/>
  <c r="AN108" i="39"/>
  <c r="AM108" i="39"/>
  <c r="AL108" i="39"/>
  <c r="AK108" i="39"/>
  <c r="AJ108" i="39"/>
  <c r="AI108" i="39"/>
  <c r="AH108" i="39"/>
  <c r="AG108" i="39"/>
  <c r="AF108" i="39"/>
  <c r="AE108" i="39"/>
  <c r="AD108" i="39"/>
  <c r="AC108" i="39"/>
  <c r="AB108" i="39"/>
  <c r="AA108" i="39"/>
  <c r="Z108" i="39"/>
  <c r="Y108" i="39"/>
  <c r="X108" i="39"/>
  <c r="W108" i="39"/>
  <c r="V108" i="39"/>
  <c r="U108" i="39"/>
  <c r="T108" i="39"/>
  <c r="S108" i="39"/>
  <c r="R108" i="39"/>
  <c r="Q108" i="39"/>
  <c r="P108" i="39"/>
  <c r="O108" i="39"/>
  <c r="N108" i="39"/>
  <c r="M108" i="39"/>
  <c r="L108" i="39"/>
  <c r="K108" i="39"/>
  <c r="J108" i="39"/>
  <c r="I108" i="39"/>
  <c r="H108" i="39"/>
  <c r="G108" i="39"/>
  <c r="F108" i="39"/>
  <c r="E108" i="39"/>
  <c r="D108" i="39"/>
  <c r="C108" i="39"/>
  <c r="AV105" i="39"/>
  <c r="AU105" i="39"/>
  <c r="AT105" i="39"/>
  <c r="AS105" i="39"/>
  <c r="AR105" i="39"/>
  <c r="AQ105" i="39"/>
  <c r="AP105" i="39"/>
  <c r="AO105" i="39"/>
  <c r="AN105" i="39"/>
  <c r="AM105" i="39"/>
  <c r="AL105" i="39"/>
  <c r="AK105" i="39"/>
  <c r="AJ105" i="39"/>
  <c r="AI105" i="39"/>
  <c r="AH105" i="39"/>
  <c r="AG105" i="39"/>
  <c r="AF105" i="39"/>
  <c r="AE105" i="39"/>
  <c r="AD105" i="39"/>
  <c r="AC105" i="39"/>
  <c r="AB105" i="39"/>
  <c r="AA105" i="39"/>
  <c r="Z105" i="39"/>
  <c r="Y105" i="39"/>
  <c r="X105" i="39"/>
  <c r="W105" i="39"/>
  <c r="V105" i="39"/>
  <c r="U105" i="39"/>
  <c r="T105" i="39"/>
  <c r="S105" i="39"/>
  <c r="R105" i="39"/>
  <c r="Q105" i="39"/>
  <c r="P105" i="39"/>
  <c r="O105" i="39"/>
  <c r="N105" i="39"/>
  <c r="M105" i="39"/>
  <c r="L105" i="39"/>
  <c r="K105" i="39"/>
  <c r="J105" i="39"/>
  <c r="I105" i="39"/>
  <c r="H105" i="39"/>
  <c r="G105" i="39"/>
  <c r="F105" i="39"/>
  <c r="E105" i="39"/>
  <c r="D105" i="39"/>
  <c r="C105" i="39"/>
  <c r="AV102" i="39"/>
  <c r="AU102" i="39"/>
  <c r="AT102" i="39"/>
  <c r="AS102" i="39"/>
  <c r="AR102" i="39"/>
  <c r="AQ102" i="39"/>
  <c r="AP102" i="39"/>
  <c r="AO102" i="39"/>
  <c r="AN102" i="39"/>
  <c r="AM102" i="39"/>
  <c r="AL102" i="39"/>
  <c r="AK102" i="39"/>
  <c r="AJ102" i="39"/>
  <c r="AI102" i="39"/>
  <c r="AH102" i="39"/>
  <c r="AG102" i="39"/>
  <c r="AF102" i="39"/>
  <c r="AE102" i="39"/>
  <c r="AD102" i="39"/>
  <c r="AC102" i="39"/>
  <c r="AB102" i="39"/>
  <c r="AA102" i="39"/>
  <c r="Z102" i="39"/>
  <c r="Y102" i="39"/>
  <c r="X102" i="39"/>
  <c r="W102" i="39"/>
  <c r="V102" i="39"/>
  <c r="U102" i="39"/>
  <c r="T102" i="39"/>
  <c r="S102" i="39"/>
  <c r="R102" i="39"/>
  <c r="Q102" i="39"/>
  <c r="P102" i="39"/>
  <c r="O102" i="39"/>
  <c r="N102" i="39"/>
  <c r="M102" i="39"/>
  <c r="L102" i="39"/>
  <c r="K102" i="39"/>
  <c r="J102" i="39"/>
  <c r="I102" i="39"/>
  <c r="H102" i="39"/>
  <c r="G102" i="39"/>
  <c r="F102" i="39"/>
  <c r="E102" i="39"/>
  <c r="D102" i="39"/>
  <c r="C102" i="39"/>
  <c r="AV118" i="39"/>
  <c r="AU118" i="39"/>
  <c r="AT118" i="39"/>
  <c r="AS118" i="39"/>
  <c r="AR118" i="39"/>
  <c r="AQ118" i="39"/>
  <c r="AP118" i="39"/>
  <c r="AO118" i="39"/>
  <c r="AN118" i="39"/>
  <c r="AM118" i="39"/>
  <c r="AL118" i="39"/>
  <c r="AK118" i="39"/>
  <c r="AI118" i="39"/>
  <c r="AH118" i="39"/>
  <c r="AG118" i="39"/>
  <c r="AF118" i="39"/>
  <c r="AE118" i="39"/>
  <c r="AD118" i="39"/>
  <c r="AC118" i="39"/>
  <c r="AB118" i="39"/>
  <c r="AA118" i="39"/>
  <c r="Z118" i="39"/>
  <c r="Y118" i="39"/>
  <c r="X118" i="39"/>
  <c r="W118" i="39"/>
  <c r="V118" i="39"/>
  <c r="U118" i="39"/>
  <c r="T118" i="39"/>
  <c r="S118" i="39"/>
  <c r="R118" i="39"/>
  <c r="Q118" i="39"/>
  <c r="P118" i="39"/>
  <c r="O118" i="39"/>
  <c r="N118" i="39"/>
  <c r="M118" i="39"/>
  <c r="L118" i="39"/>
  <c r="K118" i="39"/>
  <c r="J118" i="39"/>
  <c r="I118" i="39"/>
  <c r="H118" i="39"/>
  <c r="G118" i="39"/>
  <c r="F118" i="39"/>
  <c r="E118" i="39"/>
  <c r="D118" i="39"/>
  <c r="C118" i="39"/>
  <c r="AV115" i="39"/>
  <c r="AU115" i="39"/>
  <c r="AT115" i="39"/>
  <c r="AS115" i="39"/>
  <c r="AR115" i="39"/>
  <c r="AQ115" i="39"/>
  <c r="AP115" i="39"/>
  <c r="AO115" i="39"/>
  <c r="AN115" i="39"/>
  <c r="AM115" i="39"/>
  <c r="AL115" i="39"/>
  <c r="AK115" i="39"/>
  <c r="AJ115" i="39"/>
  <c r="AI115" i="39"/>
  <c r="AH115" i="39"/>
  <c r="AG115" i="39"/>
  <c r="AF115" i="39"/>
  <c r="AE115" i="39"/>
  <c r="AD115" i="39"/>
  <c r="AC115" i="39"/>
  <c r="AB115" i="39"/>
  <c r="AA115" i="39"/>
  <c r="Z115" i="39"/>
  <c r="Y115" i="39"/>
  <c r="X115" i="39"/>
  <c r="W115" i="39"/>
  <c r="V115" i="39"/>
  <c r="U115" i="39"/>
  <c r="T115" i="39"/>
  <c r="S115" i="39"/>
  <c r="R115" i="39"/>
  <c r="Q115" i="39"/>
  <c r="P115" i="39"/>
  <c r="O115" i="39"/>
  <c r="N115" i="39"/>
  <c r="M115" i="39"/>
  <c r="L115" i="39"/>
  <c r="K115" i="39"/>
  <c r="J115" i="39"/>
  <c r="I115" i="39"/>
  <c r="H115" i="39"/>
  <c r="G115" i="39"/>
  <c r="F115" i="39"/>
  <c r="E115" i="39"/>
  <c r="D115" i="39"/>
  <c r="C115" i="39"/>
  <c r="AV112" i="39"/>
  <c r="AU112" i="39"/>
  <c r="AT112" i="39"/>
  <c r="AS112" i="39"/>
  <c r="AR112" i="39"/>
  <c r="AQ112" i="39"/>
  <c r="AP112" i="39"/>
  <c r="AO112" i="39"/>
  <c r="AN112" i="39"/>
  <c r="AM112" i="39"/>
  <c r="AL112" i="39"/>
  <c r="AK112" i="39"/>
  <c r="AJ112" i="39"/>
  <c r="AI112" i="39"/>
  <c r="AH112" i="39"/>
  <c r="AG112" i="39"/>
  <c r="AF112" i="39"/>
  <c r="AE112" i="39"/>
  <c r="AD112" i="39"/>
  <c r="AC112" i="39"/>
  <c r="AB112" i="39"/>
  <c r="AA112" i="39"/>
  <c r="Z112" i="39"/>
  <c r="Y112" i="39"/>
  <c r="X112" i="39"/>
  <c r="W112" i="39"/>
  <c r="V112" i="39"/>
  <c r="U112" i="39"/>
  <c r="T112" i="39"/>
  <c r="S112" i="39"/>
  <c r="R112" i="39"/>
  <c r="Q112" i="39"/>
  <c r="P112" i="39"/>
  <c r="O112" i="39"/>
  <c r="N112" i="39"/>
  <c r="M112" i="39"/>
  <c r="L112" i="39"/>
  <c r="K112" i="39"/>
  <c r="J112" i="39"/>
  <c r="I112" i="39"/>
  <c r="H112" i="39"/>
  <c r="G112" i="39"/>
  <c r="F112" i="39"/>
  <c r="E112" i="39"/>
  <c r="D112" i="39"/>
  <c r="C112" i="39"/>
  <c r="B112" i="39"/>
  <c r="B115" i="39"/>
  <c r="B118" i="39"/>
  <c r="B108" i="39"/>
  <c r="B105" i="39"/>
  <c r="B102" i="39"/>
  <c r="AV98" i="39"/>
  <c r="AU98" i="39"/>
  <c r="AT98" i="39"/>
  <c r="AS98" i="39"/>
  <c r="AR98" i="39"/>
  <c r="AQ98" i="39"/>
  <c r="AP98" i="39"/>
  <c r="AO98" i="39"/>
  <c r="AN98" i="39"/>
  <c r="AM98" i="39"/>
  <c r="AL98" i="39"/>
  <c r="AK98" i="39"/>
  <c r="AJ98" i="39"/>
  <c r="AI98" i="39"/>
  <c r="AH98" i="39"/>
  <c r="AG98" i="39"/>
  <c r="AF98" i="39"/>
  <c r="AE98" i="39"/>
  <c r="AD98" i="39"/>
  <c r="AC98" i="39"/>
  <c r="AB98" i="39"/>
  <c r="AA98" i="39"/>
  <c r="Z98" i="39"/>
  <c r="Y98" i="39"/>
  <c r="X98" i="39"/>
  <c r="W98" i="39"/>
  <c r="V98" i="39"/>
  <c r="U98" i="39"/>
  <c r="T98" i="39"/>
  <c r="S98" i="39"/>
  <c r="R98" i="39"/>
  <c r="Q98" i="39"/>
  <c r="P98" i="39"/>
  <c r="O98" i="39"/>
  <c r="N98" i="39"/>
  <c r="M98" i="39"/>
  <c r="L98" i="39"/>
  <c r="K98" i="39"/>
  <c r="J98" i="39"/>
  <c r="I98" i="39"/>
  <c r="H98" i="39"/>
  <c r="G98" i="39"/>
  <c r="F98" i="39"/>
  <c r="E98" i="39"/>
  <c r="D98" i="39"/>
  <c r="C98" i="39"/>
  <c r="AV95" i="39"/>
  <c r="AU95" i="39"/>
  <c r="AT95" i="39"/>
  <c r="AS95" i="39"/>
  <c r="AR95" i="39"/>
  <c r="AQ95" i="39"/>
  <c r="AP95" i="39"/>
  <c r="AO95" i="39"/>
  <c r="AN95" i="39"/>
  <c r="AM95" i="39"/>
  <c r="AL95" i="39"/>
  <c r="AK95" i="39"/>
  <c r="AJ95" i="39"/>
  <c r="AI95" i="39"/>
  <c r="AH95" i="39"/>
  <c r="AG95" i="39"/>
  <c r="AF95" i="39"/>
  <c r="AE95" i="39"/>
  <c r="AD95" i="39"/>
  <c r="AC95" i="39"/>
  <c r="AB95" i="39"/>
  <c r="AA95" i="39"/>
  <c r="Z95" i="39"/>
  <c r="Y95" i="39"/>
  <c r="X95" i="39"/>
  <c r="W95" i="39"/>
  <c r="V95" i="39"/>
  <c r="U95" i="39"/>
  <c r="T95" i="39"/>
  <c r="S95" i="39"/>
  <c r="R95" i="39"/>
  <c r="Q95" i="39"/>
  <c r="P95" i="39"/>
  <c r="O95" i="39"/>
  <c r="N95" i="39"/>
  <c r="M95" i="39"/>
  <c r="L95" i="39"/>
  <c r="K95" i="39"/>
  <c r="J95" i="39"/>
  <c r="I95" i="39"/>
  <c r="H95" i="39"/>
  <c r="G95" i="39"/>
  <c r="F95" i="39"/>
  <c r="E95" i="39"/>
  <c r="D95" i="39"/>
  <c r="C95" i="39"/>
  <c r="AV92" i="39"/>
  <c r="AU92" i="39"/>
  <c r="AT92" i="39"/>
  <c r="AS92" i="39"/>
  <c r="AR92" i="39"/>
  <c r="AQ92" i="39"/>
  <c r="AP92" i="39"/>
  <c r="AO92" i="39"/>
  <c r="AN92" i="39"/>
  <c r="AM92" i="39"/>
  <c r="AL92" i="39"/>
  <c r="AK92" i="39"/>
  <c r="AJ92" i="39"/>
  <c r="AI92" i="39"/>
  <c r="AH92" i="39"/>
  <c r="AG92" i="39"/>
  <c r="AF92" i="39"/>
  <c r="AE92" i="39"/>
  <c r="AD92" i="39"/>
  <c r="AC92" i="39"/>
  <c r="AB92" i="39"/>
  <c r="AA92" i="39"/>
  <c r="Z92" i="39"/>
  <c r="Y92" i="39"/>
  <c r="X92" i="39"/>
  <c r="W92" i="39"/>
  <c r="V92" i="39"/>
  <c r="U92" i="39"/>
  <c r="T92" i="39"/>
  <c r="S92" i="39"/>
  <c r="R92" i="39"/>
  <c r="Q92" i="39"/>
  <c r="P92" i="39"/>
  <c r="O92" i="39"/>
  <c r="N92" i="39"/>
  <c r="M92" i="39"/>
  <c r="L92" i="39"/>
  <c r="K92" i="39"/>
  <c r="J92" i="39"/>
  <c r="I92" i="39"/>
  <c r="H92" i="39"/>
  <c r="G92" i="39"/>
  <c r="F92" i="39"/>
  <c r="E92" i="39"/>
  <c r="D92" i="39"/>
  <c r="C92" i="39"/>
  <c r="B98" i="39"/>
  <c r="B95" i="39"/>
  <c r="B92" i="39"/>
  <c r="AV88" i="39"/>
  <c r="AU88" i="39"/>
  <c r="AT88" i="39"/>
  <c r="AS88" i="39"/>
  <c r="AR88" i="39"/>
  <c r="AQ88" i="39"/>
  <c r="AP88" i="39"/>
  <c r="AO88" i="39"/>
  <c r="AN88" i="39"/>
  <c r="AM88" i="39"/>
  <c r="AL88" i="39"/>
  <c r="AK88" i="39"/>
  <c r="AJ88" i="39"/>
  <c r="AI88" i="39"/>
  <c r="AH88" i="39"/>
  <c r="AG88" i="39"/>
  <c r="AF88" i="39"/>
  <c r="AE88" i="39"/>
  <c r="AD88" i="39"/>
  <c r="AC88" i="39"/>
  <c r="AB88" i="39"/>
  <c r="AA88" i="39"/>
  <c r="Z88" i="39"/>
  <c r="Y88" i="39"/>
  <c r="X88" i="39"/>
  <c r="W88" i="39"/>
  <c r="V88" i="39"/>
  <c r="U88" i="39"/>
  <c r="T88" i="39"/>
  <c r="S88" i="39"/>
  <c r="R88" i="39"/>
  <c r="Q88" i="39"/>
  <c r="P88" i="39"/>
  <c r="O88" i="39"/>
  <c r="N88" i="39"/>
  <c r="M88" i="39"/>
  <c r="L88" i="39"/>
  <c r="K88" i="39"/>
  <c r="J88" i="39"/>
  <c r="I88" i="39"/>
  <c r="H88" i="39"/>
  <c r="G88" i="39"/>
  <c r="F88" i="39"/>
  <c r="E88" i="39"/>
  <c r="D88" i="39"/>
  <c r="C88" i="39"/>
  <c r="AV85" i="39"/>
  <c r="AU85" i="39"/>
  <c r="AT85" i="39"/>
  <c r="AS85" i="39"/>
  <c r="AR85" i="39"/>
  <c r="AQ85" i="39"/>
  <c r="AP85" i="39"/>
  <c r="AO85" i="39"/>
  <c r="AN85" i="39"/>
  <c r="AM85" i="39"/>
  <c r="AL85" i="39"/>
  <c r="AK85" i="39"/>
  <c r="AJ85" i="39"/>
  <c r="AI85" i="39"/>
  <c r="AH85" i="39"/>
  <c r="AG85" i="39"/>
  <c r="AF85" i="39"/>
  <c r="AE85" i="39"/>
  <c r="AD85" i="39"/>
  <c r="AC85" i="39"/>
  <c r="AB85" i="39"/>
  <c r="AA85" i="39"/>
  <c r="Z85" i="39"/>
  <c r="Y85" i="39"/>
  <c r="X85" i="39"/>
  <c r="W85" i="39"/>
  <c r="V85" i="39"/>
  <c r="U85" i="39"/>
  <c r="T85" i="39"/>
  <c r="S85" i="39"/>
  <c r="R85" i="39"/>
  <c r="Q85" i="39"/>
  <c r="P85" i="39"/>
  <c r="O85" i="39"/>
  <c r="N85" i="39"/>
  <c r="M85" i="39"/>
  <c r="L85" i="39"/>
  <c r="K85" i="39"/>
  <c r="J85" i="39"/>
  <c r="I85" i="39"/>
  <c r="H85" i="39"/>
  <c r="G85" i="39"/>
  <c r="F85" i="39"/>
  <c r="E85" i="39"/>
  <c r="D85" i="39"/>
  <c r="C85" i="39"/>
  <c r="AV82" i="39"/>
  <c r="AU82" i="39"/>
  <c r="AT82" i="39"/>
  <c r="AS82" i="39"/>
  <c r="AR82" i="39"/>
  <c r="AQ82" i="39"/>
  <c r="AP82" i="39"/>
  <c r="AO82" i="39"/>
  <c r="AN82" i="39"/>
  <c r="AM82" i="39"/>
  <c r="AL82" i="39"/>
  <c r="AK82" i="39"/>
  <c r="AJ82" i="39"/>
  <c r="AI82" i="39"/>
  <c r="AH82" i="39"/>
  <c r="AG82" i="39"/>
  <c r="AF82" i="39"/>
  <c r="AE82" i="39"/>
  <c r="AD82" i="39"/>
  <c r="AC82" i="39"/>
  <c r="AB82" i="39"/>
  <c r="AA82" i="39"/>
  <c r="Z82" i="39"/>
  <c r="Y82" i="39"/>
  <c r="X82" i="39"/>
  <c r="W82" i="39"/>
  <c r="V82" i="39"/>
  <c r="U82" i="39"/>
  <c r="T82" i="39"/>
  <c r="S82" i="39"/>
  <c r="R82" i="39"/>
  <c r="Q82" i="39"/>
  <c r="P82" i="39"/>
  <c r="O82" i="39"/>
  <c r="N82" i="39"/>
  <c r="M82" i="39"/>
  <c r="L82" i="39"/>
  <c r="K82" i="39"/>
  <c r="J82" i="39"/>
  <c r="I82" i="39"/>
  <c r="H82" i="39"/>
  <c r="G82" i="39"/>
  <c r="F82" i="39"/>
  <c r="E82" i="39"/>
  <c r="D82" i="39"/>
  <c r="C82" i="39"/>
  <c r="B88" i="39"/>
  <c r="B85" i="39"/>
  <c r="B82" i="39"/>
  <c r="D130" i="39" l="1"/>
  <c r="B125" i="39"/>
  <c r="B122" i="39"/>
  <c r="B128" i="39"/>
  <c r="AV128" i="39"/>
  <c r="AR128" i="39"/>
  <c r="AU128" i="39"/>
  <c r="AQ128" i="39"/>
  <c r="AT128" i="39"/>
  <c r="AP128" i="39"/>
  <c r="AS128" i="39"/>
  <c r="AS125" i="39"/>
  <c r="AR125" i="39"/>
  <c r="AT125" i="39"/>
  <c r="AP125" i="39"/>
  <c r="AT122" i="39"/>
  <c r="AV125" i="39"/>
  <c r="AU125" i="39"/>
  <c r="AQ125" i="39"/>
  <c r="AV122" i="39"/>
  <c r="AU122" i="39"/>
  <c r="AS122" i="39"/>
  <c r="AR122" i="39"/>
  <c r="AQ122" i="39"/>
  <c r="AP122" i="39"/>
  <c r="AO125" i="39"/>
  <c r="AO122" i="39"/>
  <c r="AO128" i="39"/>
  <c r="AN125" i="39"/>
  <c r="AN128" i="39"/>
  <c r="AN122" i="39"/>
  <c r="AM128" i="39"/>
  <c r="AM125" i="39"/>
  <c r="AM122" i="39"/>
  <c r="AL125" i="39"/>
  <c r="AL128" i="39"/>
  <c r="AL122" i="39"/>
  <c r="AK128" i="39"/>
  <c r="AK125" i="39"/>
  <c r="AK122" i="39"/>
  <c r="AJ128" i="39"/>
  <c r="AJ125" i="39"/>
  <c r="AJ122" i="39"/>
  <c r="AI128" i="39"/>
  <c r="AI125" i="39"/>
  <c r="AI122" i="39"/>
  <c r="AH128" i="39"/>
  <c r="AH125" i="39"/>
  <c r="AH122" i="39"/>
  <c r="AG128" i="39"/>
  <c r="AG125" i="39"/>
  <c r="AG122" i="39"/>
  <c r="AF128" i="39"/>
  <c r="AF125" i="39"/>
  <c r="AF122" i="39"/>
  <c r="AE128" i="39"/>
  <c r="AE125" i="39"/>
  <c r="AE122" i="39"/>
  <c r="AD128" i="39"/>
  <c r="AD125" i="39"/>
  <c r="AD122" i="39"/>
  <c r="AC128" i="39"/>
  <c r="AC125" i="39"/>
  <c r="AC122" i="39"/>
  <c r="AB128" i="39"/>
  <c r="AB125" i="39"/>
  <c r="AB122" i="39"/>
  <c r="AA128" i="39"/>
  <c r="AA125" i="39"/>
  <c r="AA122" i="39"/>
  <c r="Z128" i="39"/>
  <c r="Z125" i="39"/>
  <c r="Z122" i="39"/>
  <c r="Y128" i="39"/>
  <c r="Y125" i="39"/>
  <c r="Y122" i="39"/>
  <c r="X128" i="39"/>
  <c r="X125" i="39"/>
  <c r="X122" i="39"/>
  <c r="W128" i="39"/>
  <c r="W125" i="39"/>
  <c r="W122" i="39"/>
  <c r="V128" i="39"/>
  <c r="V125" i="39"/>
  <c r="V122" i="39"/>
  <c r="U128" i="39"/>
  <c r="U125" i="39"/>
  <c r="U122" i="39"/>
  <c r="T125" i="39"/>
  <c r="T128" i="39"/>
  <c r="T122" i="39"/>
  <c r="S128" i="39"/>
  <c r="S125" i="39"/>
  <c r="S122" i="39"/>
  <c r="R128" i="39"/>
  <c r="R125" i="39"/>
  <c r="R122" i="39"/>
  <c r="Q122" i="39"/>
  <c r="Q128" i="39"/>
  <c r="Q125" i="39"/>
  <c r="P125" i="39"/>
  <c r="P128" i="39"/>
  <c r="P122" i="39"/>
  <c r="O128" i="39"/>
  <c r="O125" i="39"/>
  <c r="O122" i="39"/>
  <c r="N128" i="39"/>
  <c r="N125" i="39"/>
  <c r="N122" i="39"/>
  <c r="M128" i="39"/>
  <c r="M125" i="39"/>
  <c r="M122" i="39"/>
  <c r="L128" i="39"/>
  <c r="L125" i="39"/>
  <c r="L122" i="39"/>
  <c r="K128" i="39"/>
  <c r="K125" i="39"/>
  <c r="K122" i="39"/>
  <c r="J128" i="39"/>
  <c r="J125" i="39"/>
  <c r="J122" i="39"/>
  <c r="I128" i="39"/>
  <c r="I125" i="39"/>
  <c r="I122" i="39"/>
  <c r="H128" i="39"/>
  <c r="H125" i="39"/>
  <c r="H122" i="39"/>
  <c r="G128" i="39"/>
  <c r="G125" i="39"/>
  <c r="G122" i="39"/>
  <c r="F122" i="39"/>
  <c r="F125" i="39"/>
  <c r="F128" i="39"/>
  <c r="E128" i="39"/>
  <c r="E125" i="39"/>
  <c r="E122" i="39"/>
  <c r="D128" i="39"/>
  <c r="D125" i="39"/>
  <c r="D122" i="39"/>
  <c r="C125" i="39"/>
  <c r="C128" i="39"/>
  <c r="C122" i="39"/>
  <c r="AV78" i="39"/>
  <c r="AU78" i="39"/>
  <c r="AT78" i="39"/>
  <c r="AS78" i="39"/>
  <c r="AR78" i="39"/>
  <c r="AQ78" i="39"/>
  <c r="AP78" i="39"/>
  <c r="AO78" i="39"/>
  <c r="AN78" i="39"/>
  <c r="AM78" i="39"/>
  <c r="AL78" i="39"/>
  <c r="AK78" i="39"/>
  <c r="AJ78" i="39"/>
  <c r="AI78" i="39"/>
  <c r="AH78" i="39"/>
  <c r="AG78" i="39"/>
  <c r="AF78" i="39"/>
  <c r="AE78" i="39"/>
  <c r="AD78" i="39"/>
  <c r="AC78" i="39"/>
  <c r="AB78" i="39"/>
  <c r="AA78" i="39"/>
  <c r="Z78" i="39"/>
  <c r="Y78" i="39"/>
  <c r="X78" i="39"/>
  <c r="W78" i="39"/>
  <c r="V78" i="39"/>
  <c r="U78" i="39"/>
  <c r="T78" i="39"/>
  <c r="R78" i="39"/>
  <c r="Q78" i="39"/>
  <c r="P78" i="39"/>
  <c r="O78" i="39"/>
  <c r="N78" i="39"/>
  <c r="M78" i="39"/>
  <c r="L78" i="39"/>
  <c r="K78" i="39"/>
  <c r="J78" i="39"/>
  <c r="I78" i="39"/>
  <c r="H78" i="39"/>
  <c r="G78" i="39"/>
  <c r="F78" i="39"/>
  <c r="E78" i="39"/>
  <c r="D78" i="39"/>
  <c r="C78" i="39"/>
  <c r="AV75" i="39"/>
  <c r="AU75" i="39"/>
  <c r="AT75" i="39"/>
  <c r="AS75" i="39"/>
  <c r="AR75" i="39"/>
  <c r="AQ75" i="39"/>
  <c r="AP75" i="39"/>
  <c r="AO75" i="39"/>
  <c r="AN75" i="39"/>
  <c r="AM75" i="39"/>
  <c r="AL75" i="39"/>
  <c r="AK75" i="39"/>
  <c r="AJ75" i="39"/>
  <c r="AI75" i="39"/>
  <c r="AH75" i="39"/>
  <c r="AG75" i="39"/>
  <c r="AF75" i="39"/>
  <c r="AE75" i="39"/>
  <c r="AD75" i="39"/>
  <c r="AC75" i="39"/>
  <c r="AB75" i="39"/>
  <c r="AA75" i="39"/>
  <c r="Z75" i="39"/>
  <c r="Y75" i="39"/>
  <c r="X75" i="39"/>
  <c r="W75" i="39"/>
  <c r="V75" i="39"/>
  <c r="U75" i="39"/>
  <c r="T75" i="39"/>
  <c r="S75" i="39"/>
  <c r="R75" i="39"/>
  <c r="Q75" i="39"/>
  <c r="P75" i="39"/>
  <c r="O75" i="39"/>
  <c r="N75" i="39"/>
  <c r="M75" i="39"/>
  <c r="L75" i="39"/>
  <c r="K75" i="39"/>
  <c r="J75" i="39"/>
  <c r="I75" i="39"/>
  <c r="H75" i="39"/>
  <c r="G75" i="39"/>
  <c r="F75" i="39"/>
  <c r="E75" i="39"/>
  <c r="D75" i="39"/>
  <c r="C75" i="39"/>
  <c r="AV72" i="39"/>
  <c r="AU72" i="39"/>
  <c r="AT72" i="39"/>
  <c r="AS72" i="39"/>
  <c r="AR72" i="39"/>
  <c r="AQ72" i="39"/>
  <c r="AP72" i="39"/>
  <c r="AO72" i="39"/>
  <c r="AN72" i="39"/>
  <c r="AM72" i="39"/>
  <c r="AL72" i="39"/>
  <c r="AK72" i="39"/>
  <c r="AJ72" i="39"/>
  <c r="AI72" i="39"/>
  <c r="AH72" i="39"/>
  <c r="AG72" i="39"/>
  <c r="AF72" i="39"/>
  <c r="AE72" i="39"/>
  <c r="AD72" i="39"/>
  <c r="AC72" i="39"/>
  <c r="AB72" i="39"/>
  <c r="AA72" i="39"/>
  <c r="Z72" i="39"/>
  <c r="Y72" i="39"/>
  <c r="X72" i="39"/>
  <c r="W72" i="39"/>
  <c r="V72" i="39"/>
  <c r="U72" i="39"/>
  <c r="T72" i="39"/>
  <c r="S72" i="39"/>
  <c r="R72" i="39"/>
  <c r="Q72" i="39"/>
  <c r="P72" i="39"/>
  <c r="O72" i="39"/>
  <c r="N72" i="39"/>
  <c r="M72" i="39"/>
  <c r="L72" i="39"/>
  <c r="K72" i="39"/>
  <c r="J72" i="39"/>
  <c r="I72" i="39"/>
  <c r="H72" i="39"/>
  <c r="G72" i="39"/>
  <c r="F72" i="39"/>
  <c r="E72" i="39"/>
  <c r="D72" i="39"/>
  <c r="C72" i="39"/>
  <c r="B78" i="39"/>
  <c r="B75" i="39"/>
  <c r="B72" i="39"/>
  <c r="AV68" i="39"/>
  <c r="AU68" i="39"/>
  <c r="AT68" i="39"/>
  <c r="AS68" i="39"/>
  <c r="AR68" i="39"/>
  <c r="AQ68" i="39"/>
  <c r="AP68" i="39"/>
  <c r="AO68" i="39"/>
  <c r="AN68" i="39"/>
  <c r="AM68" i="39"/>
  <c r="AL68" i="39"/>
  <c r="AK68" i="39"/>
  <c r="AJ68" i="39"/>
  <c r="AI68" i="39"/>
  <c r="AH68" i="39"/>
  <c r="AG68" i="39"/>
  <c r="AF68" i="39"/>
  <c r="AE68" i="39"/>
  <c r="AD68" i="39"/>
  <c r="AC68" i="39"/>
  <c r="AB68" i="39"/>
  <c r="AA68" i="39"/>
  <c r="Z68" i="39"/>
  <c r="Y68" i="39"/>
  <c r="X68" i="39"/>
  <c r="W68" i="39"/>
  <c r="V68" i="39"/>
  <c r="U68" i="39"/>
  <c r="T68" i="39"/>
  <c r="S68" i="39"/>
  <c r="R68" i="39"/>
  <c r="Q68" i="39"/>
  <c r="P68" i="39"/>
  <c r="O68" i="39"/>
  <c r="N68" i="39"/>
  <c r="M68" i="39"/>
  <c r="L68" i="39"/>
  <c r="K68" i="39"/>
  <c r="J68" i="39"/>
  <c r="I68" i="39"/>
  <c r="H68" i="39"/>
  <c r="G68" i="39"/>
  <c r="F68" i="39"/>
  <c r="D68" i="39"/>
  <c r="C68" i="39"/>
  <c r="AV65" i="39"/>
  <c r="AU65" i="39"/>
  <c r="AT65" i="39"/>
  <c r="AS65" i="39"/>
  <c r="AR65" i="39"/>
  <c r="AQ65" i="39"/>
  <c r="AP65" i="39"/>
  <c r="AO65" i="39"/>
  <c r="AN65" i="39"/>
  <c r="AM65" i="39"/>
  <c r="AL65" i="39"/>
  <c r="AK65" i="39"/>
  <c r="AJ65" i="39"/>
  <c r="AI65" i="39"/>
  <c r="AH65" i="39"/>
  <c r="AG65" i="39"/>
  <c r="AF65" i="39"/>
  <c r="AE65" i="39"/>
  <c r="AD65" i="39"/>
  <c r="AC65" i="39"/>
  <c r="AB65" i="39"/>
  <c r="AA65" i="39"/>
  <c r="Z65" i="39"/>
  <c r="Y65" i="39"/>
  <c r="X65" i="39"/>
  <c r="W65" i="39"/>
  <c r="V65" i="39"/>
  <c r="U65" i="39"/>
  <c r="T65" i="39"/>
  <c r="S65" i="39"/>
  <c r="R65" i="39"/>
  <c r="Q65" i="39"/>
  <c r="P65" i="39"/>
  <c r="O65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AV62" i="39"/>
  <c r="AU62" i="39"/>
  <c r="AT62" i="39"/>
  <c r="AS62" i="39"/>
  <c r="AR62" i="39"/>
  <c r="AQ62" i="39"/>
  <c r="AP62" i="39"/>
  <c r="AO62" i="39"/>
  <c r="AN62" i="39"/>
  <c r="AM62" i="39"/>
  <c r="AL62" i="39"/>
  <c r="AK62" i="39"/>
  <c r="AJ62" i="39"/>
  <c r="AI62" i="39"/>
  <c r="AH62" i="39"/>
  <c r="AG62" i="39"/>
  <c r="AF62" i="39"/>
  <c r="AE62" i="39"/>
  <c r="AD62" i="39"/>
  <c r="AC62" i="39"/>
  <c r="AB62" i="39"/>
  <c r="AA62" i="39"/>
  <c r="Z62" i="39"/>
  <c r="Y62" i="39"/>
  <c r="X62" i="39"/>
  <c r="W62" i="39"/>
  <c r="V62" i="39"/>
  <c r="U62" i="39"/>
  <c r="T62" i="39"/>
  <c r="S62" i="39"/>
  <c r="R62" i="39"/>
  <c r="Q62" i="39"/>
  <c r="P62" i="39"/>
  <c r="O62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B68" i="39"/>
  <c r="B65" i="39"/>
  <c r="B62" i="39"/>
  <c r="B121" i="39" l="1"/>
  <c r="AT121" i="39"/>
  <c r="AS121" i="39"/>
  <c r="AR121" i="39"/>
  <c r="AU121" i="39"/>
  <c r="AQ121" i="39"/>
  <c r="AP121" i="39"/>
  <c r="AV121" i="39"/>
  <c r="AO121" i="39"/>
  <c r="AN121" i="39"/>
  <c r="AM121" i="39"/>
  <c r="AL121" i="39"/>
  <c r="AK121" i="39"/>
  <c r="AJ121" i="39"/>
  <c r="AI121" i="39"/>
  <c r="AH121" i="39"/>
  <c r="AG121" i="39"/>
  <c r="AF121" i="39"/>
  <c r="AE121" i="39"/>
  <c r="AD121" i="39"/>
  <c r="AC121" i="39"/>
  <c r="AB121" i="39"/>
  <c r="AA121" i="39"/>
  <c r="Z121" i="39"/>
  <c r="Y121" i="39"/>
  <c r="X121" i="39"/>
  <c r="W121" i="39"/>
  <c r="V121" i="39"/>
  <c r="U121" i="39"/>
  <c r="T121" i="39"/>
  <c r="S121" i="39"/>
  <c r="R121" i="39"/>
  <c r="Q121" i="39"/>
  <c r="P121" i="39"/>
  <c r="O121" i="39"/>
  <c r="N121" i="39"/>
  <c r="M121" i="39"/>
  <c r="L121" i="39"/>
  <c r="K121" i="39"/>
  <c r="J121" i="39"/>
  <c r="I121" i="39"/>
  <c r="H121" i="39"/>
  <c r="G121" i="39"/>
  <c r="F121" i="39"/>
  <c r="E121" i="39"/>
  <c r="D121" i="39"/>
  <c r="C121" i="39"/>
  <c r="AV58" i="39"/>
  <c r="AU58" i="39"/>
  <c r="AT58" i="39"/>
  <c r="AS58" i="39"/>
  <c r="AR58" i="39"/>
  <c r="AQ58" i="39"/>
  <c r="AP58" i="39"/>
  <c r="AO58" i="39"/>
  <c r="AN58" i="39"/>
  <c r="AM58" i="39"/>
  <c r="AL58" i="39"/>
  <c r="AK58" i="39"/>
  <c r="AJ58" i="39"/>
  <c r="AI58" i="39"/>
  <c r="AH58" i="39"/>
  <c r="AG58" i="39"/>
  <c r="AF58" i="39"/>
  <c r="AE58" i="39"/>
  <c r="AD58" i="39"/>
  <c r="AC58" i="39"/>
  <c r="AB58" i="39"/>
  <c r="AA58" i="39"/>
  <c r="Z58" i="39"/>
  <c r="Y58" i="39"/>
  <c r="X58" i="39"/>
  <c r="W58" i="39"/>
  <c r="V58" i="39"/>
  <c r="U58" i="39"/>
  <c r="T58" i="39"/>
  <c r="S58" i="39"/>
  <c r="R58" i="39"/>
  <c r="Q58" i="39"/>
  <c r="P58" i="39"/>
  <c r="O58" i="39"/>
  <c r="N58" i="39"/>
  <c r="M58" i="39"/>
  <c r="L58" i="39"/>
  <c r="K58" i="39"/>
  <c r="J58" i="39"/>
  <c r="I58" i="39"/>
  <c r="H58" i="39"/>
  <c r="G58" i="39"/>
  <c r="F58" i="39"/>
  <c r="E58" i="39"/>
  <c r="D58" i="39"/>
  <c r="C58" i="39"/>
  <c r="AV55" i="39"/>
  <c r="AU55" i="39"/>
  <c r="AT55" i="39"/>
  <c r="AS55" i="39"/>
  <c r="AR55" i="39"/>
  <c r="AQ55" i="39"/>
  <c r="AP55" i="39"/>
  <c r="AO55" i="39"/>
  <c r="AN55" i="39"/>
  <c r="AM55" i="39"/>
  <c r="AL55" i="39"/>
  <c r="AK55" i="39"/>
  <c r="AJ55" i="39"/>
  <c r="AI55" i="39"/>
  <c r="AH55" i="39"/>
  <c r="AG55" i="39"/>
  <c r="AF55" i="39"/>
  <c r="AE55" i="39"/>
  <c r="AD55" i="39"/>
  <c r="AC55" i="39"/>
  <c r="AB55" i="39"/>
  <c r="AA55" i="39"/>
  <c r="Z55" i="39"/>
  <c r="Y55" i="39"/>
  <c r="X55" i="39"/>
  <c r="W55" i="39"/>
  <c r="V55" i="39"/>
  <c r="U55" i="39"/>
  <c r="T55" i="39"/>
  <c r="S55" i="39"/>
  <c r="R55" i="39"/>
  <c r="Q55" i="39"/>
  <c r="P55" i="39"/>
  <c r="O55" i="39"/>
  <c r="N55" i="39"/>
  <c r="M55" i="39"/>
  <c r="L55" i="39"/>
  <c r="K55" i="39"/>
  <c r="J55" i="39"/>
  <c r="I55" i="39"/>
  <c r="H55" i="39"/>
  <c r="G55" i="39"/>
  <c r="F55" i="39"/>
  <c r="E55" i="39"/>
  <c r="D55" i="39"/>
  <c r="C55" i="39"/>
  <c r="AV52" i="39"/>
  <c r="AU52" i="39"/>
  <c r="AT52" i="39"/>
  <c r="AS52" i="39"/>
  <c r="AR52" i="39"/>
  <c r="AQ52" i="39"/>
  <c r="AP52" i="39"/>
  <c r="AO52" i="39"/>
  <c r="AN52" i="39"/>
  <c r="AM52" i="39"/>
  <c r="AL52" i="39"/>
  <c r="AK52" i="39"/>
  <c r="AJ52" i="39"/>
  <c r="AI52" i="39"/>
  <c r="AH52" i="39"/>
  <c r="AG52" i="39"/>
  <c r="AF52" i="39"/>
  <c r="AE52" i="39"/>
  <c r="AD52" i="39"/>
  <c r="AC52" i="39"/>
  <c r="AB52" i="39"/>
  <c r="AA52" i="39"/>
  <c r="Z52" i="39"/>
  <c r="Y52" i="39"/>
  <c r="X52" i="39"/>
  <c r="W52" i="39"/>
  <c r="V52" i="39"/>
  <c r="U52" i="39"/>
  <c r="T52" i="39"/>
  <c r="S52" i="39"/>
  <c r="R52" i="39"/>
  <c r="Q52" i="39"/>
  <c r="P52" i="39"/>
  <c r="O52" i="39"/>
  <c r="N52" i="39"/>
  <c r="M52" i="39"/>
  <c r="L52" i="39"/>
  <c r="K52" i="39"/>
  <c r="J52" i="39"/>
  <c r="I52" i="39"/>
  <c r="H52" i="39"/>
  <c r="G52" i="39"/>
  <c r="F52" i="39"/>
  <c r="E52" i="39"/>
  <c r="D52" i="39"/>
  <c r="C52" i="39"/>
  <c r="B58" i="39"/>
  <c r="B55" i="39"/>
  <c r="B52" i="39"/>
  <c r="AV48" i="39"/>
  <c r="AU48" i="39"/>
  <c r="AT48" i="39"/>
  <c r="AS48" i="39"/>
  <c r="AR48" i="39"/>
  <c r="AQ48" i="39"/>
  <c r="AP48" i="39"/>
  <c r="AO48" i="39"/>
  <c r="AN48" i="39"/>
  <c r="AM48" i="39"/>
  <c r="AL48" i="39"/>
  <c r="AK48" i="39"/>
  <c r="AJ48" i="39"/>
  <c r="AI48" i="39"/>
  <c r="AH48" i="39"/>
  <c r="AG48" i="39"/>
  <c r="AF48" i="39"/>
  <c r="AE48" i="39"/>
  <c r="AD48" i="39"/>
  <c r="AC48" i="39"/>
  <c r="AB48" i="39"/>
  <c r="AA48" i="39"/>
  <c r="Z48" i="39"/>
  <c r="Y48" i="39"/>
  <c r="X48" i="39"/>
  <c r="W48" i="39"/>
  <c r="V48" i="39"/>
  <c r="U48" i="39"/>
  <c r="T48" i="39"/>
  <c r="S48" i="39"/>
  <c r="R48" i="39"/>
  <c r="Q48" i="39"/>
  <c r="P48" i="39"/>
  <c r="O48" i="39"/>
  <c r="N48" i="39"/>
  <c r="M48" i="39"/>
  <c r="L48" i="39"/>
  <c r="K48" i="39"/>
  <c r="J48" i="39"/>
  <c r="I48" i="39"/>
  <c r="H48" i="39"/>
  <c r="G48" i="39"/>
  <c r="F48" i="39"/>
  <c r="E48" i="39"/>
  <c r="D48" i="39"/>
  <c r="C48" i="39"/>
  <c r="AV45" i="39"/>
  <c r="AU45" i="39"/>
  <c r="AT45" i="39"/>
  <c r="AS45" i="39"/>
  <c r="AR45" i="39"/>
  <c r="AQ45" i="39"/>
  <c r="AP45" i="39"/>
  <c r="AO45" i="39"/>
  <c r="AN45" i="39"/>
  <c r="AM45" i="39"/>
  <c r="AL45" i="39"/>
  <c r="AK45" i="39"/>
  <c r="AJ45" i="39"/>
  <c r="AI45" i="39"/>
  <c r="AH45" i="39"/>
  <c r="AG45" i="39"/>
  <c r="AF45" i="39"/>
  <c r="AE45" i="39"/>
  <c r="AD45" i="39"/>
  <c r="AC45" i="39"/>
  <c r="AB45" i="39"/>
  <c r="AA45" i="39"/>
  <c r="Z45" i="39"/>
  <c r="Y45" i="39"/>
  <c r="X45" i="39"/>
  <c r="W45" i="39"/>
  <c r="V45" i="39"/>
  <c r="U45" i="39"/>
  <c r="T45" i="39"/>
  <c r="S45" i="39"/>
  <c r="R45" i="39"/>
  <c r="Q45" i="39"/>
  <c r="P45" i="39"/>
  <c r="O45" i="39"/>
  <c r="N45" i="39"/>
  <c r="M45" i="39"/>
  <c r="L45" i="39"/>
  <c r="K45" i="39"/>
  <c r="J45" i="39"/>
  <c r="I45" i="39"/>
  <c r="H45" i="39"/>
  <c r="G45" i="39"/>
  <c r="F45" i="39"/>
  <c r="E45" i="39"/>
  <c r="D45" i="39"/>
  <c r="C45" i="39"/>
  <c r="AV42" i="39"/>
  <c r="AU42" i="39"/>
  <c r="AT42" i="39"/>
  <c r="AS42" i="39"/>
  <c r="AR42" i="39"/>
  <c r="AQ42" i="39"/>
  <c r="AP42" i="39"/>
  <c r="AO42" i="39"/>
  <c r="AN42" i="39"/>
  <c r="AM42" i="39"/>
  <c r="AL42" i="39"/>
  <c r="AK42" i="39"/>
  <c r="AJ42" i="39"/>
  <c r="AI42" i="39"/>
  <c r="AH42" i="39"/>
  <c r="AG42" i="39"/>
  <c r="AF42" i="39"/>
  <c r="AE42" i="39"/>
  <c r="AD42" i="39"/>
  <c r="AC42" i="39"/>
  <c r="AB42" i="39"/>
  <c r="AA42" i="39"/>
  <c r="Z42" i="39"/>
  <c r="Y42" i="39"/>
  <c r="X42" i="39"/>
  <c r="W42" i="39"/>
  <c r="V42" i="39"/>
  <c r="U42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G42" i="39"/>
  <c r="F42" i="39"/>
  <c r="E42" i="39"/>
  <c r="D42" i="39"/>
  <c r="C42" i="39"/>
  <c r="B48" i="39"/>
  <c r="B45" i="39"/>
  <c r="B42" i="39"/>
  <c r="B38" i="39"/>
  <c r="B35" i="39"/>
  <c r="B32" i="39"/>
  <c r="B25" i="39"/>
  <c r="B22" i="39"/>
  <c r="B28" i="39"/>
  <c r="AV18" i="39"/>
  <c r="AU18" i="39"/>
  <c r="AT18" i="39"/>
  <c r="AS18" i="39"/>
  <c r="AR18" i="39"/>
  <c r="AQ18" i="39"/>
  <c r="AP18" i="39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AA18" i="39"/>
  <c r="Z18" i="39"/>
  <c r="Y18" i="39"/>
  <c r="X18" i="39"/>
  <c r="W18" i="39"/>
  <c r="V18" i="39"/>
  <c r="U18" i="39"/>
  <c r="T18" i="39"/>
  <c r="S18" i="39"/>
  <c r="R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AV15" i="39"/>
  <c r="AU15" i="39"/>
  <c r="AT15" i="39"/>
  <c r="AS15" i="39"/>
  <c r="AR15" i="39"/>
  <c r="AQ15" i="39"/>
  <c r="AP15" i="39"/>
  <c r="AO15" i="39"/>
  <c r="AN15" i="39"/>
  <c r="AM15" i="39"/>
  <c r="AL15" i="39"/>
  <c r="AK15" i="39"/>
  <c r="AJ15" i="39"/>
  <c r="AI15" i="39"/>
  <c r="AH15" i="39"/>
  <c r="AG15" i="39"/>
  <c r="AF15" i="39"/>
  <c r="AE15" i="39"/>
  <c r="AD15" i="39"/>
  <c r="AC15" i="39"/>
  <c r="AB15" i="39"/>
  <c r="AA15" i="39"/>
  <c r="Z15" i="39"/>
  <c r="Y15" i="39"/>
  <c r="X15" i="39"/>
  <c r="W15" i="39"/>
  <c r="V15" i="39"/>
  <c r="U15" i="39"/>
  <c r="T15" i="39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D15" i="39"/>
  <c r="C15" i="39"/>
  <c r="AV12" i="39"/>
  <c r="AU12" i="39"/>
  <c r="AT12" i="39"/>
  <c r="AS12" i="39"/>
  <c r="AR12" i="39"/>
  <c r="AQ12" i="39"/>
  <c r="AP12" i="39"/>
  <c r="AO12" i="39"/>
  <c r="AN12" i="39"/>
  <c r="AM12" i="39"/>
  <c r="AL12" i="39"/>
  <c r="AK12" i="39"/>
  <c r="AJ12" i="39"/>
  <c r="AI12" i="39"/>
  <c r="AH12" i="39"/>
  <c r="AG12" i="39"/>
  <c r="AF12" i="39"/>
  <c r="AE12" i="39"/>
  <c r="AD12" i="39"/>
  <c r="AC12" i="39"/>
  <c r="AB12" i="39"/>
  <c r="AA12" i="39"/>
  <c r="Z12" i="39"/>
  <c r="Y12" i="39"/>
  <c r="X12" i="39"/>
  <c r="W12" i="39"/>
  <c r="V12" i="39"/>
  <c r="U12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E12" i="39"/>
  <c r="D12" i="39"/>
  <c r="C12" i="39"/>
  <c r="B15" i="39"/>
  <c r="B18" i="39"/>
  <c r="B12" i="39"/>
</calcChain>
</file>

<file path=xl/sharedStrings.xml><?xml version="1.0" encoding="utf-8"?>
<sst xmlns="http://schemas.openxmlformats.org/spreadsheetml/2006/main" count="182" uniqueCount="76">
  <si>
    <t xml:space="preserve">Perimeter: Sociale zekerheid </t>
  </si>
  <si>
    <t xml:space="preserve">   Arbeiders</t>
  </si>
  <si>
    <t xml:space="preserve">      Mannen</t>
  </si>
  <si>
    <t xml:space="preserve">      Vrouwen</t>
  </si>
  <si>
    <t xml:space="preserve">   Bedienden</t>
  </si>
  <si>
    <t xml:space="preserve">   Mijnwerkers</t>
  </si>
  <si>
    <t>Totaal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</si>
  <si>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</si>
  <si>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</si>
  <si>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</si>
  <si>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</si>
  <si>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</si>
  <si>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</si>
  <si>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</si>
  <si>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</si>
  <si>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</si>
  <si>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</si>
  <si>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</si>
  <si>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</si>
  <si>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</si>
  <si>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</si>
  <si>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</si>
  <si>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</si>
  <si>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</si>
  <si>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</si>
  <si>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</si>
  <si>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</si>
  <si>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</si>
  <si>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</si>
  <si>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</si>
  <si>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</si>
  <si>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</si>
  <si>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</si>
  <si>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</si>
  <si>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</si>
  <si>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</si>
  <si>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</si>
  <si>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</si>
  <si>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</si>
  <si>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</si>
  <si>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</si>
  <si>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</si>
  <si>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</si>
  <si>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</si>
  <si>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</si>
  <si>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</si>
  <si>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</si>
  <si>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</si>
  <si>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</si>
  <si>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</si>
  <si>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</si>
  <si>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</si>
  <si>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</si>
  <si>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</si>
  <si>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Bron: FOD Sociale Zekerheid, RIZIV</t>
  </si>
  <si>
    <t xml:space="preserve">   &lt; 20 jaar</t>
  </si>
  <si>
    <t xml:space="preserve">   20 - 24 jaar</t>
  </si>
  <si>
    <t xml:space="preserve">   25 - 29 jaar</t>
  </si>
  <si>
    <t xml:space="preserve">   30 - 34 jaar</t>
  </si>
  <si>
    <t xml:space="preserve">   35 - 39 jaar</t>
  </si>
  <si>
    <t xml:space="preserve">   40 - 44 jaar</t>
  </si>
  <si>
    <t xml:space="preserve">   45 - 49 jaar</t>
  </si>
  <si>
    <t xml:space="preserve">   50 - 54 jaar</t>
  </si>
  <si>
    <t xml:space="preserve">   55 - 59 jaar</t>
  </si>
  <si>
    <t xml:space="preserve">   60 - 64 jaar</t>
  </si>
  <si>
    <t xml:space="preserve">   65 en meer</t>
  </si>
  <si>
    <t>* De cijfers van de leeftijdsklasse 65+ zijn onvolledig voor 1972.</t>
  </si>
  <si>
    <t xml:space="preserve"> </t>
  </si>
  <si>
    <t xml:space="preserve">2017 </t>
  </si>
  <si>
    <t xml:space="preserve">2018 </t>
  </si>
  <si>
    <t xml:space="preserve">Periode: 1970-2018 </t>
  </si>
  <si>
    <t xml:space="preserve">Stelsel: Werknemers </t>
  </si>
  <si>
    <t>Tak: Invaliditeitsuitkeringen</t>
  </si>
  <si>
    <t xml:space="preserve">Update: Januari 2020 </t>
  </si>
  <si>
    <t>Eenheden: Aantal</t>
  </si>
  <si>
    <t xml:space="preserve">Titel: Aantal invaliden volgens sociale toestand en leeftijdsklasse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</si>
</sst>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"/>
  </numFmts>
  <fonts count="22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2"/>
      <color rgb="FF333399"/>
      <name val="Century Gothic"/>
      <family val="2"/>
    </font>
    <font>
      <b/>
      <i/>
      <sz val="12"/>
      <color rgb="FF333399"/>
      <name val="Century Gothic"/>
      <family val="2"/>
    </font>
    <font>
      <sz val="12"/>
      <color rgb="FF33339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 style="medium">
        <color rgb="FF333399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76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0" fontId="13" fillId="7" borderId="0" xfId="0" quotePrefix="1" applyFont="1" applyFill="1" applyBorder="1" applyAlignment="1">
      <alignment horizontal="left" vertical="top" wrapText="1" indent="1"/>
    </xf>
    <xf numFmtId="0" fontId="13" fillId="7" borderId="0" xfId="0" applyFont="1" applyFill="1" applyAlignment="1"/>
    <xf numFmtId="0" fontId="13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3" fillId="7" borderId="0" xfId="0" applyFont="1" applyFill="1" applyBorder="1" applyAlignment="1">
      <alignment horizontal="left" vertical="center" indent="1"/>
    </xf>
    <xf numFmtId="0" fontId="13" fillId="7" borderId="0" xfId="0" applyFont="1" applyFill="1"/>
    <xf numFmtId="0" fontId="11" fillId="7" borderId="0" xfId="0" applyFont="1" applyFill="1" applyAlignment="1"/>
    <xf numFmtId="0" fontId="11" fillId="7" borderId="0" xfId="0" quotePrefix="1" applyFont="1" applyFill="1" applyBorder="1" applyAlignment="1">
      <alignment horizontal="left" indent="1"/>
    </xf>
    <xf numFmtId="0" fontId="13" fillId="7" borderId="0" xfId="0" applyFont="1" applyFill="1" applyBorder="1"/>
    <xf numFmtId="0" fontId="11" fillId="8" borderId="0" xfId="0" applyFont="1" applyFill="1" applyAlignment="1">
      <alignment vertical="center"/>
    </xf>
    <xf numFmtId="49" fontId="14" fillId="7" borderId="8" xfId="0" quotePrefix="1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164" fontId="16" fillId="8" borderId="0" xfId="0" applyNumberFormat="1" applyFont="1" applyFill="1" applyBorder="1" applyAlignment="1">
      <alignment vertical="center"/>
    </xf>
    <xf numFmtId="164" fontId="16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5" fillId="0" borderId="0" xfId="0" quotePrefix="1" applyNumberFormat="1" applyFont="1" applyFill="1" applyAlignment="1">
      <alignment horizontal="right" vertical="center"/>
    </xf>
    <xf numFmtId="0" fontId="14" fillId="7" borderId="0" xfId="0" quotePrefix="1" applyFont="1" applyFill="1" applyBorder="1" applyAlignment="1">
      <alignment horizontal="left" vertical="center" wrapText="1" indent="1"/>
    </xf>
    <xf numFmtId="0" fontId="11" fillId="7" borderId="0" xfId="0" quotePrefix="1" applyFont="1" applyFill="1" applyBorder="1" applyAlignment="1">
      <alignment horizontal="left" vertical="center" wrapText="1" indent="1"/>
    </xf>
    <xf numFmtId="4" fontId="11" fillId="7" borderId="0" xfId="0" applyNumberFormat="1" applyFont="1" applyFill="1" applyBorder="1" applyAlignment="1"/>
    <xf numFmtId="4" fontId="11" fillId="7" borderId="0" xfId="0" applyNumberFormat="1" applyFont="1" applyFill="1" applyAlignment="1"/>
    <xf numFmtId="4" fontId="11" fillId="7" borderId="0" xfId="0" applyNumberFormat="1" applyFont="1" applyFill="1" applyBorder="1" applyAlignment="1">
      <alignment vertical="center"/>
    </xf>
    <xf numFmtId="4" fontId="11" fillId="7" borderId="0" xfId="0" applyNumberFormat="1" applyFont="1" applyFill="1" applyAlignment="1">
      <alignment vertical="center"/>
    </xf>
    <xf numFmtId="4" fontId="13" fillId="7" borderId="0" xfId="0" applyNumberFormat="1" applyFont="1" applyFill="1" applyBorder="1" applyAlignment="1">
      <alignment vertical="center"/>
    </xf>
    <xf numFmtId="4" fontId="13" fillId="7" borderId="0" xfId="0" applyNumberFormat="1" applyFont="1" applyFill="1" applyAlignment="1"/>
    <xf numFmtId="4" fontId="0" fillId="0" borderId="0" xfId="0" applyNumberFormat="1" applyBorder="1"/>
    <xf numFmtId="4" fontId="18" fillId="0" borderId="0" xfId="0" applyNumberFormat="1" applyFont="1" applyBorder="1"/>
    <xf numFmtId="4" fontId="13" fillId="7" borderId="0" xfId="0" applyNumberFormat="1" applyFont="1" applyFill="1" applyBorder="1"/>
    <xf numFmtId="4" fontId="17" fillId="0" borderId="0" xfId="0" applyNumberFormat="1" applyFont="1" applyBorder="1"/>
    <xf numFmtId="4" fontId="13" fillId="7" borderId="0" xfId="0" applyNumberFormat="1" applyFont="1" applyFill="1"/>
    <xf numFmtId="4" fontId="13" fillId="7" borderId="0" xfId="0" applyNumberFormat="1" applyFont="1" applyFill="1" applyAlignment="1">
      <alignment vertical="center"/>
    </xf>
    <xf numFmtId="4" fontId="10" fillId="7" borderId="0" xfId="0" applyNumberFormat="1" applyFont="1" applyFill="1" applyBorder="1"/>
    <xf numFmtId="4" fontId="12" fillId="7" borderId="0" xfId="0" applyNumberFormat="1" applyFont="1" applyFill="1" applyBorder="1" applyAlignment="1"/>
    <xf numFmtId="4" fontId="10" fillId="7" borderId="0" xfId="0" applyNumberFormat="1" applyFont="1" applyFill="1"/>
    <xf numFmtId="4" fontId="14" fillId="7" borderId="0" xfId="0" quotePrefix="1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17" fillId="0" borderId="0" xfId="0" applyNumberFormat="1" applyFont="1" applyBorder="1" applyAlignment="1">
      <alignment vertical="top"/>
    </xf>
    <xf numFmtId="4" fontId="12" fillId="7" borderId="0" xfId="0" applyNumberFormat="1" applyFont="1" applyFill="1" applyAlignment="1"/>
    <xf numFmtId="4" fontId="13" fillId="7" borderId="0" xfId="0" quotePrefix="1" applyNumberFormat="1" applyFont="1" applyFill="1" applyBorder="1" applyAlignment="1">
      <alignment horizontal="left" vertical="top" wrapText="1" indent="1"/>
    </xf>
    <xf numFmtId="3" fontId="11" fillId="7" borderId="0" xfId="0" applyNumberFormat="1" applyFont="1" applyFill="1" applyAlignment="1"/>
    <xf numFmtId="3" fontId="11" fillId="7" borderId="0" xfId="0" applyNumberFormat="1" applyFont="1" applyFill="1" applyBorder="1" applyAlignment="1"/>
    <xf numFmtId="3" fontId="11" fillId="7" borderId="0" xfId="0" applyNumberFormat="1" applyFont="1" applyFill="1" applyAlignment="1">
      <alignment vertical="center"/>
    </xf>
    <xf numFmtId="3" fontId="13" fillId="7" borderId="0" xfId="0" applyNumberFormat="1" applyFont="1" applyFill="1" applyAlignment="1"/>
    <xf numFmtId="0" fontId="14" fillId="7" borderId="11" xfId="0" quotePrefix="1" applyFont="1" applyFill="1" applyBorder="1" applyAlignment="1">
      <alignment horizontal="left" vertical="center" wrapText="1" indent="1"/>
    </xf>
    <xf numFmtId="164" fontId="13" fillId="8" borderId="0" xfId="0" quotePrefix="1" applyNumberFormat="1" applyFont="1" applyFill="1" applyBorder="1" applyAlignment="1">
      <alignment horizontal="left" vertical="center" indent="1"/>
    </xf>
    <xf numFmtId="0" fontId="19" fillId="7" borderId="12" xfId="0" quotePrefix="1" applyFont="1" applyFill="1" applyBorder="1" applyAlignment="1">
      <alignment horizontal="left" vertical="center" indent="1"/>
    </xf>
    <xf numFmtId="3" fontId="19" fillId="7" borderId="9" xfId="0" applyNumberFormat="1" applyFont="1" applyFill="1" applyBorder="1" applyAlignment="1">
      <alignment vertical="center"/>
    </xf>
    <xf numFmtId="0" fontId="20" fillId="7" borderId="10" xfId="0" quotePrefix="1" applyFont="1" applyFill="1" applyBorder="1" applyAlignment="1">
      <alignment horizontal="left" vertical="center" indent="1"/>
    </xf>
    <xf numFmtId="3" fontId="21" fillId="7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1" fillId="7" borderId="10" xfId="0" quotePrefix="1" applyFont="1" applyFill="1" applyBorder="1" applyAlignment="1">
      <alignment horizontal="left" vertical="center" indent="1"/>
    </xf>
    <xf numFmtId="3" fontId="21" fillId="7" borderId="0" xfId="0" quotePrefix="1" applyNumberFormat="1" applyFont="1" applyFill="1" applyBorder="1" applyAlignment="1">
      <alignment horizontal="right" vertical="center"/>
    </xf>
    <xf numFmtId="0" fontId="21" fillId="7" borderId="11" xfId="0" quotePrefix="1" applyFont="1" applyFill="1" applyBorder="1" applyAlignment="1">
      <alignment horizontal="left" vertical="center" indent="1"/>
    </xf>
    <xf numFmtId="3" fontId="21" fillId="7" borderId="8" xfId="0" applyNumberFormat="1" applyFont="1" applyFill="1" applyBorder="1" applyAlignment="1">
      <alignment vertical="center"/>
    </xf>
    <xf numFmtId="3" fontId="21" fillId="7" borderId="8" xfId="0" quotePrefix="1" applyNumberFormat="1" applyFont="1" applyFill="1" applyBorder="1" applyAlignment="1">
      <alignment horizontal="right" vertical="center"/>
    </xf>
    <xf numFmtId="0" fontId="19" fillId="7" borderId="10" xfId="0" quotePrefix="1" applyFont="1" applyFill="1" applyBorder="1" applyAlignment="1">
      <alignment horizontal="left" vertical="center" indent="1"/>
    </xf>
    <xf numFmtId="0" fontId="19" fillId="7" borderId="10" xfId="0" quotePrefix="1" applyFont="1" applyFill="1" applyBorder="1" applyAlignment="1">
      <alignment horizontal="left" indent="1"/>
    </xf>
    <xf numFmtId="0" fontId="20" fillId="7" borderId="10" xfId="0" quotePrefix="1" applyFont="1" applyFill="1" applyBorder="1" applyAlignment="1">
      <alignment horizontal="left" indent="1"/>
    </xf>
    <xf numFmtId="0" fontId="19" fillId="7" borderId="12" xfId="0" quotePrefix="1" applyFont="1" applyFill="1" applyBorder="1" applyAlignment="1">
      <alignment horizontal="left" indent="1"/>
    </xf>
    <xf numFmtId="3" fontId="21" fillId="7" borderId="0" xfId="0" quotePrefix="1" applyNumberFormat="1" applyFont="1" applyFill="1" applyBorder="1" applyAlignment="1">
      <alignment vertical="center"/>
    </xf>
    <xf numFmtId="3" fontId="21" fillId="7" borderId="8" xfId="0" quotePrefix="1" applyNumberFormat="1" applyFont="1" applyFill="1" applyBorder="1" applyAlignment="1">
      <alignment vertical="center"/>
    </xf>
    <xf numFmtId="3" fontId="21" fillId="9" borderId="0" xfId="0" applyNumberFormat="1" applyFont="1" applyFill="1" applyBorder="1" applyAlignment="1">
      <alignment vertical="center"/>
    </xf>
    <xf numFmtId="3" fontId="21" fillId="9" borderId="8" xfId="0" applyNumberFormat="1" applyFont="1" applyFill="1" applyBorder="1" applyAlignment="1">
      <alignment vertical="center"/>
    </xf>
    <xf numFmtId="3" fontId="19" fillId="7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4" fillId="7" borderId="0" xfId="0" applyFont="1" applyFill="1" applyAlignment="1">
      <alignment horizontal="left" vertical="center" indent="1"/>
    </xf>
    <xf numFmtId="3" fontId="11" fillId="7" borderId="0" xfId="0" applyNumberFormat="1" applyFont="1" applyFill="1" applyBorder="1" applyAlignment="1">
      <alignment vertical="center"/>
    </xf>
    <xf numFmtId="0" fontId="11" fillId="7" borderId="0" xfId="0" applyFont="1" applyFill="1" applyBorder="1" applyAlignment="1">
      <alignment vertical="center"/>
    </xf>
    <xf numFmtId="3" fontId="19" fillId="7" borderId="0" xfId="0" quotePrefix="1" applyNumberFormat="1" applyFont="1" applyFill="1" applyBorder="1" applyAlignment="1">
      <alignment horizontal="right" vertical="center"/>
    </xf>
    <xf numFmtId="3" fontId="19" fillId="7" borderId="0" xfId="0" quotePrefix="1" applyNumberFormat="1" applyFont="1" applyFill="1" applyBorder="1" applyAlignment="1">
      <alignment vertical="center"/>
    </xf>
    <xf numFmtId="3" fontId="19" fillId="9" borderId="0" xfId="0" applyNumberFormat="1" applyFont="1" applyFill="1" applyBorder="1" applyAlignment="1">
      <alignment vertical="center"/>
    </xf>
    <xf numFmtId="4" fontId="13" fillId="0" borderId="0" xfId="0" applyNumberFormat="1" applyFont="1" applyBorder="1"/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FFFFCC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CQ291"/>
  <sheetViews>
    <sheetView showGridLines="0" tabSelected="1" zoomScale="75" zoomScaleNormal="75" workbookViewId="0"/>
  </sheetViews>
  <sheetFormatPr defaultColWidth="11.42578125" defaultRowHeight="13.5" x14ac:dyDescent="0.25"/>
  <cols>
    <col min="1" max="1" width="55.7109375" style="2" customWidth="1"/>
    <col min="2" max="4" width="19.7109375" style="2" customWidth="1"/>
    <col min="5" max="6" width="19.7109375" style="1" customWidth="1"/>
    <col min="7" max="50" width="19.7109375" style="2" customWidth="1"/>
    <col min="51" max="16384" width="11.42578125" style="2"/>
  </cols>
  <sheetData>
    <row r="1" spans="1:95" ht="21" customHeight="1" x14ac:dyDescent="0.25">
      <c r="A1" s="69" t="s">
        <v>75</v>
      </c>
    </row>
    <row r="2" spans="1:95" s="18" customFormat="1" ht="16.5" x14ac:dyDescent="0.2">
      <c r="A2" s="48" t="s">
        <v>0</v>
      </c>
      <c r="B2" s="15"/>
      <c r="C2" s="16"/>
      <c r="D2" s="16"/>
      <c r="E2" s="16"/>
      <c r="F2" s="16"/>
      <c r="G2" s="16"/>
      <c r="H2" s="16"/>
      <c r="I2" s="16"/>
      <c r="J2" s="16"/>
      <c r="K2" s="17"/>
      <c r="L2" s="17"/>
    </row>
    <row r="3" spans="1:95" s="18" customFormat="1" ht="16.5" x14ac:dyDescent="0.2">
      <c r="A3" s="48" t="s">
        <v>71</v>
      </c>
      <c r="B3" s="15"/>
      <c r="C3" s="16"/>
      <c r="D3" s="16"/>
      <c r="E3" s="16"/>
      <c r="F3" s="16"/>
      <c r="G3" s="16"/>
      <c r="H3" s="16"/>
      <c r="I3" s="16"/>
      <c r="J3" s="16"/>
      <c r="K3" s="17"/>
      <c r="L3" s="17"/>
    </row>
    <row r="4" spans="1:95" s="18" customFormat="1" ht="16.5" x14ac:dyDescent="0.2">
      <c r="A4" s="48" t="s">
        <v>72</v>
      </c>
      <c r="B4" s="15"/>
      <c r="C4" s="16"/>
      <c r="D4" s="16"/>
      <c r="E4" s="16"/>
      <c r="F4" s="16"/>
      <c r="G4" s="16"/>
      <c r="H4" s="16"/>
      <c r="I4" s="16"/>
      <c r="J4" s="16"/>
      <c r="K4" s="17"/>
      <c r="L4" s="17"/>
    </row>
    <row r="5" spans="1:95" s="18" customFormat="1" ht="16.5" x14ac:dyDescent="0.2">
      <c r="A5" s="48" t="s">
        <v>70</v>
      </c>
      <c r="B5" s="15"/>
      <c r="C5" s="16"/>
      <c r="D5" s="16"/>
      <c r="E5" s="16"/>
      <c r="F5" s="16"/>
      <c r="G5" s="16"/>
      <c r="H5" s="16"/>
      <c r="I5" s="16"/>
      <c r="J5" s="16"/>
      <c r="K5" s="17"/>
      <c r="L5" s="17"/>
    </row>
    <row r="6" spans="1:95" s="18" customFormat="1" ht="16.5" x14ac:dyDescent="0.2">
      <c r="A6" s="48" t="s">
        <v>73</v>
      </c>
      <c r="B6" s="15"/>
      <c r="C6" s="16"/>
      <c r="D6" s="16"/>
      <c r="E6" s="16"/>
      <c r="F6" s="16"/>
      <c r="G6" s="16"/>
      <c r="H6" s="16"/>
      <c r="I6" s="16"/>
      <c r="J6" s="16"/>
      <c r="K6" s="17"/>
      <c r="L6" s="17"/>
    </row>
    <row r="7" spans="1:95" s="18" customFormat="1" ht="16.5" x14ac:dyDescent="0.2">
      <c r="A7" s="48" t="s">
        <v>74</v>
      </c>
      <c r="B7" s="15"/>
      <c r="C7" s="16"/>
      <c r="D7" s="16"/>
      <c r="E7" s="16"/>
      <c r="F7" s="16"/>
      <c r="G7" s="16"/>
      <c r="H7" s="16"/>
      <c r="I7" s="16"/>
      <c r="J7" s="16"/>
      <c r="K7" s="17"/>
      <c r="L7" s="17"/>
    </row>
    <row r="8" spans="1:95" s="18" customFormat="1" ht="16.5" x14ac:dyDescent="0.2">
      <c r="A8" s="48" t="s">
        <v>54</v>
      </c>
      <c r="B8" s="15"/>
      <c r="C8" s="16"/>
      <c r="D8" s="16"/>
      <c r="E8" s="16"/>
      <c r="F8" s="16"/>
      <c r="G8" s="16"/>
      <c r="H8" s="16"/>
      <c r="I8" s="16"/>
      <c r="J8" s="16"/>
      <c r="K8" s="17"/>
      <c r="L8" s="17"/>
    </row>
    <row r="9" spans="1:95" ht="15" customHeight="1" x14ac:dyDescent="0.25">
      <c r="B9" s="13"/>
      <c r="C9" s="19"/>
      <c r="D9" s="20"/>
    </row>
    <row r="10" spans="1:95" ht="24.95" customHeight="1" thickBot="1" x14ac:dyDescent="0.3">
      <c r="A10" s="47"/>
      <c r="B10" s="14" t="s">
        <v>7</v>
      </c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  <c r="I10" s="14" t="s">
        <v>14</v>
      </c>
      <c r="J10" s="14" t="s">
        <v>15</v>
      </c>
      <c r="K10" s="14" t="s">
        <v>16</v>
      </c>
      <c r="L10" s="14" t="s">
        <v>17</v>
      </c>
      <c r="M10" s="14" t="s">
        <v>18</v>
      </c>
      <c r="N10" s="14" t="s">
        <v>19</v>
      </c>
      <c r="O10" s="14" t="s">
        <v>20</v>
      </c>
      <c r="P10" s="14" t="s">
        <v>21</v>
      </c>
      <c r="Q10" s="14" t="s">
        <v>22</v>
      </c>
      <c r="R10" s="14" t="s">
        <v>23</v>
      </c>
      <c r="S10" s="14" t="s">
        <v>24</v>
      </c>
      <c r="T10" s="14" t="s">
        <v>25</v>
      </c>
      <c r="U10" s="14" t="s">
        <v>26</v>
      </c>
      <c r="V10" s="14" t="s">
        <v>27</v>
      </c>
      <c r="W10" s="14" t="s">
        <v>28</v>
      </c>
      <c r="X10" s="14" t="s">
        <v>29</v>
      </c>
      <c r="Y10" s="14" t="s">
        <v>30</v>
      </c>
      <c r="Z10" s="14" t="s">
        <v>31</v>
      </c>
      <c r="AA10" s="14" t="s">
        <v>32</v>
      </c>
      <c r="AB10" s="14" t="s">
        <v>33</v>
      </c>
      <c r="AC10" s="14" t="s">
        <v>34</v>
      </c>
      <c r="AD10" s="14" t="s">
        <v>35</v>
      </c>
      <c r="AE10" s="14" t="s">
        <v>36</v>
      </c>
      <c r="AF10" s="14" t="s">
        <v>37</v>
      </c>
      <c r="AG10" s="14" t="s">
        <v>38</v>
      </c>
      <c r="AH10" s="14" t="s">
        <v>39</v>
      </c>
      <c r="AI10" s="14" t="s">
        <v>40</v>
      </c>
      <c r="AJ10" s="14" t="s">
        <v>41</v>
      </c>
      <c r="AK10" s="14" t="s">
        <v>42</v>
      </c>
      <c r="AL10" s="14" t="s">
        <v>43</v>
      </c>
      <c r="AM10" s="14" t="s">
        <v>44</v>
      </c>
      <c r="AN10" s="14" t="s">
        <v>45</v>
      </c>
      <c r="AO10" s="14" t="s">
        <v>46</v>
      </c>
      <c r="AP10" s="14" t="s">
        <v>47</v>
      </c>
      <c r="AQ10" s="14" t="s">
        <v>48</v>
      </c>
      <c r="AR10" s="14" t="s">
        <v>49</v>
      </c>
      <c r="AS10" s="14" t="s">
        <v>50</v>
      </c>
      <c r="AT10" s="14" t="s">
        <v>51</v>
      </c>
      <c r="AU10" s="14" t="s">
        <v>52</v>
      </c>
      <c r="AV10" s="14" t="s">
        <v>53</v>
      </c>
      <c r="AW10" s="14" t="s">
        <v>68</v>
      </c>
      <c r="AX10" s="14" t="s">
        <v>69</v>
      </c>
    </row>
    <row r="11" spans="1:95" s="10" customFormat="1" ht="24.95" customHeight="1" x14ac:dyDescent="0.2">
      <c r="A11" s="49" t="s">
        <v>55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</row>
    <row r="12" spans="1:95" s="10" customFormat="1" ht="24.95" customHeight="1" x14ac:dyDescent="0.2">
      <c r="A12" s="51" t="s">
        <v>1</v>
      </c>
      <c r="B12" s="67">
        <f>SUM(B13,B14)</f>
        <v>108</v>
      </c>
      <c r="C12" s="67">
        <f t="shared" ref="C12:AV12" si="0">SUM(C13,C14)</f>
        <v>107</v>
      </c>
      <c r="D12" s="67">
        <f t="shared" si="0"/>
        <v>148</v>
      </c>
      <c r="E12" s="67">
        <f t="shared" si="0"/>
        <v>154</v>
      </c>
      <c r="F12" s="67">
        <f t="shared" si="0"/>
        <v>128</v>
      </c>
      <c r="G12" s="67">
        <f t="shared" si="0"/>
        <v>155</v>
      </c>
      <c r="H12" s="67">
        <f t="shared" si="0"/>
        <v>162</v>
      </c>
      <c r="I12" s="67">
        <f t="shared" si="0"/>
        <v>142</v>
      </c>
      <c r="J12" s="67">
        <f t="shared" si="0"/>
        <v>121</v>
      </c>
      <c r="K12" s="67">
        <f t="shared" si="0"/>
        <v>103</v>
      </c>
      <c r="L12" s="67">
        <f t="shared" si="0"/>
        <v>88</v>
      </c>
      <c r="M12" s="67">
        <f t="shared" si="0"/>
        <v>78</v>
      </c>
      <c r="N12" s="67">
        <f t="shared" si="0"/>
        <v>60</v>
      </c>
      <c r="O12" s="67">
        <f t="shared" si="0"/>
        <v>44</v>
      </c>
      <c r="P12" s="67">
        <f t="shared" si="0"/>
        <v>44</v>
      </c>
      <c r="Q12" s="67">
        <f t="shared" si="0"/>
        <v>23</v>
      </c>
      <c r="R12" s="67">
        <f t="shared" si="0"/>
        <v>23</v>
      </c>
      <c r="S12" s="67">
        <f t="shared" si="0"/>
        <v>15</v>
      </c>
      <c r="T12" s="68">
        <f t="shared" si="0"/>
        <v>4</v>
      </c>
      <c r="U12" s="67">
        <f t="shared" si="0"/>
        <v>2</v>
      </c>
      <c r="V12" s="67">
        <f t="shared" si="0"/>
        <v>2</v>
      </c>
      <c r="W12" s="67">
        <f t="shared" si="0"/>
        <v>5</v>
      </c>
      <c r="X12" s="67">
        <f t="shared" si="0"/>
        <v>16</v>
      </c>
      <c r="Y12" s="67">
        <f t="shared" si="0"/>
        <v>15</v>
      </c>
      <c r="Z12" s="67">
        <f t="shared" si="0"/>
        <v>10</v>
      </c>
      <c r="AA12" s="67">
        <f t="shared" si="0"/>
        <v>8</v>
      </c>
      <c r="AB12" s="67">
        <f t="shared" si="0"/>
        <v>3</v>
      </c>
      <c r="AC12" s="67">
        <f t="shared" si="0"/>
        <v>9</v>
      </c>
      <c r="AD12" s="67">
        <f t="shared" si="0"/>
        <v>9</v>
      </c>
      <c r="AE12" s="67">
        <f t="shared" si="0"/>
        <v>10</v>
      </c>
      <c r="AF12" s="67">
        <f t="shared" si="0"/>
        <v>12</v>
      </c>
      <c r="AG12" s="67">
        <f t="shared" si="0"/>
        <v>11</v>
      </c>
      <c r="AH12" s="68">
        <f t="shared" si="0"/>
        <v>12</v>
      </c>
      <c r="AI12" s="67">
        <f t="shared" si="0"/>
        <v>14</v>
      </c>
      <c r="AJ12" s="67">
        <f t="shared" si="0"/>
        <v>11</v>
      </c>
      <c r="AK12" s="67">
        <f t="shared" si="0"/>
        <v>5</v>
      </c>
      <c r="AL12" s="67">
        <f t="shared" si="0"/>
        <v>8</v>
      </c>
      <c r="AM12" s="67">
        <f t="shared" si="0"/>
        <v>13</v>
      </c>
      <c r="AN12" s="67">
        <f t="shared" si="0"/>
        <v>16</v>
      </c>
      <c r="AO12" s="67">
        <f t="shared" si="0"/>
        <v>10</v>
      </c>
      <c r="AP12" s="67">
        <f t="shared" si="0"/>
        <v>5</v>
      </c>
      <c r="AQ12" s="67">
        <f t="shared" si="0"/>
        <v>8</v>
      </c>
      <c r="AR12" s="67">
        <f t="shared" si="0"/>
        <v>7</v>
      </c>
      <c r="AS12" s="67">
        <f t="shared" si="0"/>
        <v>5</v>
      </c>
      <c r="AT12" s="67">
        <f t="shared" si="0"/>
        <v>4</v>
      </c>
      <c r="AU12" s="67">
        <f t="shared" si="0"/>
        <v>5</v>
      </c>
      <c r="AV12" s="67">
        <f t="shared" si="0"/>
        <v>6</v>
      </c>
      <c r="AW12" s="67">
        <f>AW13</f>
        <v>2</v>
      </c>
      <c r="AX12" s="67">
        <f>AX13</f>
        <v>1</v>
      </c>
      <c r="AY12" s="44"/>
      <c r="AZ12" s="44"/>
      <c r="BA12" s="44"/>
      <c r="BB12" s="44"/>
      <c r="BC12" s="44"/>
      <c r="BD12" s="44"/>
      <c r="BE12" s="44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24"/>
      <c r="CI12" s="24"/>
      <c r="CJ12" s="24"/>
      <c r="CK12" s="24"/>
      <c r="CL12" s="24"/>
      <c r="CM12" s="24"/>
      <c r="CN12" s="24"/>
      <c r="CO12" s="24"/>
      <c r="CP12" s="24"/>
      <c r="CQ12" s="24"/>
    </row>
    <row r="13" spans="1:95" s="10" customFormat="1" ht="21" customHeight="1" x14ac:dyDescent="0.2">
      <c r="A13" s="54" t="s">
        <v>2</v>
      </c>
      <c r="B13" s="52">
        <v>73</v>
      </c>
      <c r="C13" s="52">
        <v>56</v>
      </c>
      <c r="D13" s="52">
        <v>91</v>
      </c>
      <c r="E13" s="52">
        <v>96</v>
      </c>
      <c r="F13" s="52">
        <v>84</v>
      </c>
      <c r="G13" s="52">
        <v>85</v>
      </c>
      <c r="H13" s="53">
        <v>101</v>
      </c>
      <c r="I13" s="52">
        <v>93</v>
      </c>
      <c r="J13" s="52">
        <v>77</v>
      </c>
      <c r="K13" s="52">
        <v>65</v>
      </c>
      <c r="L13" s="52">
        <v>58</v>
      </c>
      <c r="M13" s="52">
        <v>55</v>
      </c>
      <c r="N13" s="52">
        <v>39</v>
      </c>
      <c r="O13" s="52">
        <v>33</v>
      </c>
      <c r="P13" s="52">
        <v>30</v>
      </c>
      <c r="Q13" s="52">
        <v>14</v>
      </c>
      <c r="R13" s="52">
        <v>13</v>
      </c>
      <c r="S13" s="52">
        <v>10</v>
      </c>
      <c r="T13" s="52">
        <v>3</v>
      </c>
      <c r="U13" s="52">
        <v>2</v>
      </c>
      <c r="V13" s="52">
        <v>1</v>
      </c>
      <c r="W13" s="52">
        <v>4</v>
      </c>
      <c r="X13" s="52">
        <v>12</v>
      </c>
      <c r="Y13" s="52">
        <v>10</v>
      </c>
      <c r="Z13" s="52">
        <v>5</v>
      </c>
      <c r="AA13" s="52">
        <v>4</v>
      </c>
      <c r="AB13" s="52">
        <v>2</v>
      </c>
      <c r="AC13" s="52">
        <v>8</v>
      </c>
      <c r="AD13" s="52">
        <v>7</v>
      </c>
      <c r="AE13" s="52">
        <v>8</v>
      </c>
      <c r="AF13" s="52">
        <v>6</v>
      </c>
      <c r="AG13" s="52">
        <v>6</v>
      </c>
      <c r="AH13" s="52">
        <v>8</v>
      </c>
      <c r="AI13" s="52">
        <v>9</v>
      </c>
      <c r="AJ13" s="52">
        <v>8</v>
      </c>
      <c r="AK13" s="52">
        <v>5</v>
      </c>
      <c r="AL13" s="52">
        <v>7</v>
      </c>
      <c r="AM13" s="52">
        <v>5</v>
      </c>
      <c r="AN13" s="52">
        <v>7</v>
      </c>
      <c r="AO13" s="52">
        <v>6</v>
      </c>
      <c r="AP13" s="52">
        <v>5</v>
      </c>
      <c r="AQ13" s="52">
        <v>7</v>
      </c>
      <c r="AR13" s="52">
        <v>3</v>
      </c>
      <c r="AS13" s="52">
        <v>4</v>
      </c>
      <c r="AT13" s="52">
        <v>3</v>
      </c>
      <c r="AU13" s="52">
        <v>2</v>
      </c>
      <c r="AV13" s="52">
        <v>4</v>
      </c>
      <c r="AW13" s="52">
        <v>2</v>
      </c>
      <c r="AX13" s="52">
        <v>1</v>
      </c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24"/>
      <c r="CI13" s="24"/>
      <c r="CJ13" s="24"/>
      <c r="CK13" s="24"/>
      <c r="CL13" s="24"/>
      <c r="CM13" s="24"/>
      <c r="CN13" s="24"/>
      <c r="CO13" s="24"/>
      <c r="CP13" s="24"/>
      <c r="CQ13" s="24"/>
    </row>
    <row r="14" spans="1:95" s="10" customFormat="1" ht="24.95" customHeight="1" x14ac:dyDescent="0.2">
      <c r="A14" s="54" t="s">
        <v>3</v>
      </c>
      <c r="B14" s="52">
        <v>35</v>
      </c>
      <c r="C14" s="52">
        <v>51</v>
      </c>
      <c r="D14" s="52">
        <v>57</v>
      </c>
      <c r="E14" s="52">
        <v>58</v>
      </c>
      <c r="F14" s="52">
        <v>44</v>
      </c>
      <c r="G14" s="52">
        <v>70</v>
      </c>
      <c r="H14" s="52">
        <v>61</v>
      </c>
      <c r="I14" s="52">
        <v>49</v>
      </c>
      <c r="J14" s="52">
        <v>44</v>
      </c>
      <c r="K14" s="52">
        <v>38</v>
      </c>
      <c r="L14" s="52">
        <v>30</v>
      </c>
      <c r="M14" s="52">
        <v>23</v>
      </c>
      <c r="N14" s="52">
        <v>21</v>
      </c>
      <c r="O14" s="52">
        <v>11</v>
      </c>
      <c r="P14" s="52">
        <v>14</v>
      </c>
      <c r="Q14" s="52">
        <v>9</v>
      </c>
      <c r="R14" s="52">
        <v>10</v>
      </c>
      <c r="S14" s="52">
        <v>5</v>
      </c>
      <c r="T14" s="52">
        <v>1</v>
      </c>
      <c r="U14" s="52">
        <v>0</v>
      </c>
      <c r="V14" s="52">
        <v>1</v>
      </c>
      <c r="W14" s="52">
        <v>1</v>
      </c>
      <c r="X14" s="52">
        <v>4</v>
      </c>
      <c r="Y14" s="52">
        <v>5</v>
      </c>
      <c r="Z14" s="52">
        <v>5</v>
      </c>
      <c r="AA14" s="52">
        <v>4</v>
      </c>
      <c r="AB14" s="52">
        <v>1</v>
      </c>
      <c r="AC14" s="52">
        <v>1</v>
      </c>
      <c r="AD14" s="52">
        <v>2</v>
      </c>
      <c r="AE14" s="52">
        <v>2</v>
      </c>
      <c r="AF14" s="52">
        <v>6</v>
      </c>
      <c r="AG14" s="52">
        <v>5</v>
      </c>
      <c r="AH14" s="52">
        <v>4</v>
      </c>
      <c r="AI14" s="52">
        <v>5</v>
      </c>
      <c r="AJ14" s="52">
        <v>3</v>
      </c>
      <c r="AK14" s="52">
        <v>0</v>
      </c>
      <c r="AL14" s="52">
        <v>1</v>
      </c>
      <c r="AM14" s="52">
        <v>8</v>
      </c>
      <c r="AN14" s="52">
        <v>9</v>
      </c>
      <c r="AO14" s="52">
        <v>4</v>
      </c>
      <c r="AP14" s="52">
        <v>0</v>
      </c>
      <c r="AQ14" s="52">
        <v>1</v>
      </c>
      <c r="AR14" s="52">
        <v>4</v>
      </c>
      <c r="AS14" s="52">
        <v>1</v>
      </c>
      <c r="AT14" s="52">
        <v>1</v>
      </c>
      <c r="AU14" s="52">
        <v>3</v>
      </c>
      <c r="AV14" s="52">
        <v>2</v>
      </c>
      <c r="AW14" s="52">
        <v>0</v>
      </c>
      <c r="AX14" s="52">
        <v>1</v>
      </c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24"/>
      <c r="CI14" s="24"/>
      <c r="CJ14" s="24"/>
      <c r="CK14" s="24"/>
      <c r="CL14" s="24"/>
      <c r="CM14" s="24"/>
      <c r="CN14" s="24"/>
      <c r="CO14" s="24"/>
      <c r="CP14" s="24"/>
      <c r="CQ14" s="24"/>
    </row>
    <row r="15" spans="1:95" s="10" customFormat="1" ht="24.95" customHeight="1" x14ac:dyDescent="0.2">
      <c r="A15" s="51" t="s">
        <v>4</v>
      </c>
      <c r="B15" s="67">
        <f>SUM(B16,B17)</f>
        <v>9</v>
      </c>
      <c r="C15" s="67">
        <f t="shared" ref="C15:AX15" si="1">SUM(C16,C17)</f>
        <v>7</v>
      </c>
      <c r="D15" s="67">
        <f t="shared" si="1"/>
        <v>11</v>
      </c>
      <c r="E15" s="67">
        <f t="shared" si="1"/>
        <v>7</v>
      </c>
      <c r="F15" s="67">
        <f t="shared" si="1"/>
        <v>7</v>
      </c>
      <c r="G15" s="67">
        <f t="shared" si="1"/>
        <v>12</v>
      </c>
      <c r="H15" s="67">
        <f t="shared" si="1"/>
        <v>9</v>
      </c>
      <c r="I15" s="67">
        <f t="shared" si="1"/>
        <v>5</v>
      </c>
      <c r="J15" s="67">
        <f t="shared" si="1"/>
        <v>5</v>
      </c>
      <c r="K15" s="67">
        <f t="shared" si="1"/>
        <v>11</v>
      </c>
      <c r="L15" s="67">
        <f t="shared" si="1"/>
        <v>3</v>
      </c>
      <c r="M15" s="67">
        <f t="shared" si="1"/>
        <v>11</v>
      </c>
      <c r="N15" s="67">
        <f t="shared" si="1"/>
        <v>6</v>
      </c>
      <c r="O15" s="67">
        <f t="shared" si="1"/>
        <v>7</v>
      </c>
      <c r="P15" s="67">
        <f t="shared" si="1"/>
        <v>3</v>
      </c>
      <c r="Q15" s="67">
        <f t="shared" si="1"/>
        <v>0</v>
      </c>
      <c r="R15" s="67">
        <f t="shared" si="1"/>
        <v>1</v>
      </c>
      <c r="S15" s="67">
        <f t="shared" si="1"/>
        <v>1</v>
      </c>
      <c r="T15" s="67">
        <f t="shared" si="1"/>
        <v>1</v>
      </c>
      <c r="U15" s="67">
        <f t="shared" si="1"/>
        <v>1</v>
      </c>
      <c r="V15" s="67">
        <f t="shared" si="1"/>
        <v>0</v>
      </c>
      <c r="W15" s="67">
        <f t="shared" si="1"/>
        <v>0</v>
      </c>
      <c r="X15" s="67">
        <f t="shared" si="1"/>
        <v>0</v>
      </c>
      <c r="Y15" s="67">
        <f t="shared" si="1"/>
        <v>1</v>
      </c>
      <c r="Z15" s="67">
        <f t="shared" si="1"/>
        <v>0</v>
      </c>
      <c r="AA15" s="67">
        <f t="shared" si="1"/>
        <v>1</v>
      </c>
      <c r="AB15" s="67">
        <f t="shared" si="1"/>
        <v>0</v>
      </c>
      <c r="AC15" s="67">
        <f t="shared" si="1"/>
        <v>1</v>
      </c>
      <c r="AD15" s="67">
        <f t="shared" si="1"/>
        <v>1</v>
      </c>
      <c r="AE15" s="67">
        <f t="shared" si="1"/>
        <v>0</v>
      </c>
      <c r="AF15" s="67">
        <f t="shared" si="1"/>
        <v>0</v>
      </c>
      <c r="AG15" s="67">
        <f t="shared" si="1"/>
        <v>1</v>
      </c>
      <c r="AH15" s="68">
        <f t="shared" si="1"/>
        <v>1</v>
      </c>
      <c r="AI15" s="67">
        <f t="shared" si="1"/>
        <v>1</v>
      </c>
      <c r="AJ15" s="67">
        <f t="shared" si="1"/>
        <v>0</v>
      </c>
      <c r="AK15" s="67">
        <f t="shared" si="1"/>
        <v>0</v>
      </c>
      <c r="AL15" s="67">
        <f t="shared" si="1"/>
        <v>1</v>
      </c>
      <c r="AM15" s="67">
        <f t="shared" si="1"/>
        <v>1</v>
      </c>
      <c r="AN15" s="67">
        <f t="shared" si="1"/>
        <v>1</v>
      </c>
      <c r="AO15" s="67">
        <f t="shared" si="1"/>
        <v>3</v>
      </c>
      <c r="AP15" s="67">
        <f t="shared" si="1"/>
        <v>1</v>
      </c>
      <c r="AQ15" s="67">
        <f t="shared" si="1"/>
        <v>2</v>
      </c>
      <c r="AR15" s="67">
        <f t="shared" si="1"/>
        <v>2</v>
      </c>
      <c r="AS15" s="67">
        <f t="shared" si="1"/>
        <v>1</v>
      </c>
      <c r="AT15" s="67">
        <f t="shared" si="1"/>
        <v>1</v>
      </c>
      <c r="AU15" s="67">
        <f t="shared" si="1"/>
        <v>0</v>
      </c>
      <c r="AV15" s="67">
        <f t="shared" si="1"/>
        <v>0</v>
      </c>
      <c r="AW15" s="67">
        <f t="shared" si="1"/>
        <v>0</v>
      </c>
      <c r="AX15" s="67">
        <f t="shared" si="1"/>
        <v>2</v>
      </c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24"/>
      <c r="CI15" s="24"/>
      <c r="CJ15" s="24"/>
      <c r="CK15" s="24"/>
      <c r="CL15" s="24"/>
      <c r="CM15" s="24"/>
      <c r="CN15" s="24"/>
      <c r="CO15" s="24"/>
      <c r="CP15" s="24"/>
      <c r="CQ15" s="24"/>
    </row>
    <row r="16" spans="1:95" s="10" customFormat="1" ht="24.95" customHeight="1" x14ac:dyDescent="0.2">
      <c r="A16" s="54" t="s">
        <v>2</v>
      </c>
      <c r="B16" s="52">
        <v>3</v>
      </c>
      <c r="C16" s="52">
        <v>5</v>
      </c>
      <c r="D16" s="52">
        <v>4</v>
      </c>
      <c r="E16" s="52">
        <v>7</v>
      </c>
      <c r="F16" s="52">
        <v>2</v>
      </c>
      <c r="G16" s="52">
        <v>2</v>
      </c>
      <c r="H16" s="52">
        <v>1</v>
      </c>
      <c r="I16" s="52">
        <v>0</v>
      </c>
      <c r="J16" s="52">
        <v>0</v>
      </c>
      <c r="K16" s="52">
        <v>0</v>
      </c>
      <c r="L16" s="52">
        <v>1</v>
      </c>
      <c r="M16" s="52">
        <v>2</v>
      </c>
      <c r="N16" s="52">
        <v>2</v>
      </c>
      <c r="O16" s="52">
        <v>2</v>
      </c>
      <c r="P16" s="52">
        <v>1</v>
      </c>
      <c r="Q16" s="52">
        <v>0</v>
      </c>
      <c r="R16" s="52">
        <v>1</v>
      </c>
      <c r="S16" s="52">
        <v>0</v>
      </c>
      <c r="T16" s="52">
        <v>0</v>
      </c>
      <c r="U16" s="52">
        <v>1</v>
      </c>
      <c r="V16" s="52">
        <v>0</v>
      </c>
      <c r="W16" s="52">
        <v>0</v>
      </c>
      <c r="X16" s="52">
        <v>0</v>
      </c>
      <c r="Y16" s="52">
        <v>1</v>
      </c>
      <c r="Z16" s="52">
        <v>0</v>
      </c>
      <c r="AA16" s="52">
        <v>1</v>
      </c>
      <c r="AB16" s="52">
        <v>0</v>
      </c>
      <c r="AC16" s="52">
        <v>1</v>
      </c>
      <c r="AD16" s="52">
        <v>1</v>
      </c>
      <c r="AE16" s="52">
        <v>0</v>
      </c>
      <c r="AF16" s="52">
        <v>0</v>
      </c>
      <c r="AG16" s="52">
        <v>0</v>
      </c>
      <c r="AH16" s="52">
        <v>1</v>
      </c>
      <c r="AI16" s="52">
        <v>1</v>
      </c>
      <c r="AJ16" s="52">
        <v>0</v>
      </c>
      <c r="AK16" s="52">
        <v>0</v>
      </c>
      <c r="AL16" s="52">
        <v>1</v>
      </c>
      <c r="AM16" s="52">
        <v>1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2</v>
      </c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24"/>
      <c r="CI16" s="24"/>
      <c r="CJ16" s="24"/>
      <c r="CK16" s="24"/>
      <c r="CL16" s="24"/>
      <c r="CM16" s="24"/>
      <c r="CN16" s="24"/>
      <c r="CO16" s="24"/>
      <c r="CP16" s="24"/>
      <c r="CQ16" s="24"/>
    </row>
    <row r="17" spans="1:95" s="7" customFormat="1" ht="24.95" customHeight="1" x14ac:dyDescent="0.2">
      <c r="A17" s="54" t="s">
        <v>3</v>
      </c>
      <c r="B17" s="52">
        <v>6</v>
      </c>
      <c r="C17" s="52">
        <v>2</v>
      </c>
      <c r="D17" s="52">
        <v>7</v>
      </c>
      <c r="E17" s="52">
        <v>0</v>
      </c>
      <c r="F17" s="52">
        <v>5</v>
      </c>
      <c r="G17" s="52">
        <v>10</v>
      </c>
      <c r="H17" s="52">
        <v>8</v>
      </c>
      <c r="I17" s="52">
        <v>5</v>
      </c>
      <c r="J17" s="52">
        <v>5</v>
      </c>
      <c r="K17" s="52">
        <v>11</v>
      </c>
      <c r="L17" s="52">
        <v>2</v>
      </c>
      <c r="M17" s="52">
        <v>9</v>
      </c>
      <c r="N17" s="52">
        <v>4</v>
      </c>
      <c r="O17" s="52">
        <v>5</v>
      </c>
      <c r="P17" s="52">
        <v>2</v>
      </c>
      <c r="Q17" s="52">
        <v>0</v>
      </c>
      <c r="R17" s="52">
        <v>0</v>
      </c>
      <c r="S17" s="52">
        <v>1</v>
      </c>
      <c r="T17" s="52">
        <v>1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0</v>
      </c>
      <c r="AD17" s="52">
        <v>0</v>
      </c>
      <c r="AE17" s="52">
        <v>0</v>
      </c>
      <c r="AF17" s="52">
        <v>0</v>
      </c>
      <c r="AG17" s="52">
        <v>1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52">
        <v>0</v>
      </c>
      <c r="AN17" s="52">
        <v>1</v>
      </c>
      <c r="AO17" s="52">
        <v>3</v>
      </c>
      <c r="AP17" s="52">
        <v>1</v>
      </c>
      <c r="AQ17" s="52">
        <v>2</v>
      </c>
      <c r="AR17" s="52">
        <v>2</v>
      </c>
      <c r="AS17" s="52">
        <v>1</v>
      </c>
      <c r="AT17" s="52">
        <v>1</v>
      </c>
      <c r="AU17" s="52">
        <v>0</v>
      </c>
      <c r="AV17" s="52">
        <v>0</v>
      </c>
      <c r="AW17" s="52">
        <v>0</v>
      </c>
      <c r="AX17" s="52">
        <v>0</v>
      </c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26"/>
      <c r="CI17" s="26"/>
      <c r="CJ17" s="26"/>
      <c r="CK17" s="26"/>
      <c r="CL17" s="26"/>
      <c r="CM17" s="26"/>
      <c r="CN17" s="26"/>
      <c r="CO17" s="26"/>
      <c r="CP17" s="26"/>
      <c r="CQ17" s="26"/>
    </row>
    <row r="18" spans="1:95" s="71" customFormat="1" ht="24.95" customHeight="1" x14ac:dyDescent="0.2">
      <c r="A18" s="51" t="s">
        <v>5</v>
      </c>
      <c r="B18" s="67">
        <f>SUM(B19,B20)</f>
        <v>1</v>
      </c>
      <c r="C18" s="67">
        <f t="shared" ref="C18:AX18" si="2">SUM(C19,C20)</f>
        <v>1</v>
      </c>
      <c r="D18" s="67">
        <f t="shared" si="2"/>
        <v>0</v>
      </c>
      <c r="E18" s="67">
        <f t="shared" si="2"/>
        <v>2</v>
      </c>
      <c r="F18" s="67">
        <f t="shared" si="2"/>
        <v>1</v>
      </c>
      <c r="G18" s="67">
        <f t="shared" si="2"/>
        <v>3</v>
      </c>
      <c r="H18" s="67">
        <f t="shared" si="2"/>
        <v>1</v>
      </c>
      <c r="I18" s="67">
        <f t="shared" si="2"/>
        <v>0</v>
      </c>
      <c r="J18" s="67">
        <f t="shared" si="2"/>
        <v>0</v>
      </c>
      <c r="K18" s="67">
        <f t="shared" si="2"/>
        <v>0</v>
      </c>
      <c r="L18" s="67">
        <f t="shared" si="2"/>
        <v>0</v>
      </c>
      <c r="M18" s="67">
        <f t="shared" si="2"/>
        <v>1</v>
      </c>
      <c r="N18" s="67">
        <f t="shared" si="2"/>
        <v>0</v>
      </c>
      <c r="O18" s="67">
        <f t="shared" si="2"/>
        <v>0</v>
      </c>
      <c r="P18" s="67">
        <f t="shared" si="2"/>
        <v>2</v>
      </c>
      <c r="Q18" s="67">
        <f t="shared" si="2"/>
        <v>0</v>
      </c>
      <c r="R18" s="67">
        <f t="shared" si="2"/>
        <v>1</v>
      </c>
      <c r="S18" s="67">
        <f t="shared" si="2"/>
        <v>0</v>
      </c>
      <c r="T18" s="67">
        <f t="shared" si="2"/>
        <v>0</v>
      </c>
      <c r="U18" s="67">
        <f t="shared" si="2"/>
        <v>0</v>
      </c>
      <c r="V18" s="67">
        <f t="shared" si="2"/>
        <v>0</v>
      </c>
      <c r="W18" s="67">
        <f t="shared" si="2"/>
        <v>1</v>
      </c>
      <c r="X18" s="67">
        <f t="shared" si="2"/>
        <v>0</v>
      </c>
      <c r="Y18" s="67">
        <f t="shared" si="2"/>
        <v>0</v>
      </c>
      <c r="Z18" s="67">
        <f t="shared" si="2"/>
        <v>0</v>
      </c>
      <c r="AA18" s="67">
        <f t="shared" si="2"/>
        <v>0</v>
      </c>
      <c r="AB18" s="67">
        <f t="shared" si="2"/>
        <v>0</v>
      </c>
      <c r="AC18" s="67">
        <f t="shared" si="2"/>
        <v>0</v>
      </c>
      <c r="AD18" s="67">
        <f t="shared" si="2"/>
        <v>0</v>
      </c>
      <c r="AE18" s="67">
        <f t="shared" si="2"/>
        <v>0</v>
      </c>
      <c r="AF18" s="67">
        <f t="shared" si="2"/>
        <v>0</v>
      </c>
      <c r="AG18" s="67">
        <f t="shared" si="2"/>
        <v>0</v>
      </c>
      <c r="AH18" s="68">
        <f t="shared" si="2"/>
        <v>0</v>
      </c>
      <c r="AI18" s="67">
        <f t="shared" si="2"/>
        <v>0</v>
      </c>
      <c r="AJ18" s="67">
        <f t="shared" si="2"/>
        <v>0</v>
      </c>
      <c r="AK18" s="67">
        <f t="shared" si="2"/>
        <v>0</v>
      </c>
      <c r="AL18" s="67">
        <f t="shared" si="2"/>
        <v>0</v>
      </c>
      <c r="AM18" s="67">
        <f t="shared" si="2"/>
        <v>0</v>
      </c>
      <c r="AN18" s="67">
        <f t="shared" si="2"/>
        <v>0</v>
      </c>
      <c r="AO18" s="67">
        <f t="shared" si="2"/>
        <v>0</v>
      </c>
      <c r="AP18" s="67">
        <f t="shared" si="2"/>
        <v>0</v>
      </c>
      <c r="AQ18" s="67">
        <f t="shared" si="2"/>
        <v>0</v>
      </c>
      <c r="AR18" s="67">
        <f t="shared" si="2"/>
        <v>0</v>
      </c>
      <c r="AS18" s="67">
        <f t="shared" si="2"/>
        <v>0</v>
      </c>
      <c r="AT18" s="67">
        <f t="shared" si="2"/>
        <v>0</v>
      </c>
      <c r="AU18" s="67">
        <f t="shared" si="2"/>
        <v>0</v>
      </c>
      <c r="AV18" s="67">
        <f t="shared" si="2"/>
        <v>0</v>
      </c>
      <c r="AW18" s="67">
        <f t="shared" si="2"/>
        <v>0</v>
      </c>
      <c r="AX18" s="67">
        <f t="shared" si="2"/>
        <v>0</v>
      </c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25"/>
      <c r="CI18" s="25"/>
      <c r="CJ18" s="25"/>
      <c r="CK18" s="25"/>
      <c r="CL18" s="25"/>
      <c r="CM18" s="25"/>
      <c r="CN18" s="25"/>
      <c r="CO18" s="25"/>
      <c r="CP18" s="25"/>
      <c r="CQ18" s="25"/>
    </row>
    <row r="19" spans="1:95" s="10" customFormat="1" ht="24.95" customHeight="1" x14ac:dyDescent="0.2">
      <c r="A19" s="54" t="s">
        <v>2</v>
      </c>
      <c r="B19" s="52">
        <v>1</v>
      </c>
      <c r="C19" s="52">
        <v>1</v>
      </c>
      <c r="D19" s="52">
        <v>0</v>
      </c>
      <c r="E19" s="52">
        <v>2</v>
      </c>
      <c r="F19" s="52">
        <v>1</v>
      </c>
      <c r="G19" s="52">
        <v>3</v>
      </c>
      <c r="H19" s="52">
        <v>1</v>
      </c>
      <c r="I19" s="52">
        <v>0</v>
      </c>
      <c r="J19" s="52">
        <v>0</v>
      </c>
      <c r="K19" s="52">
        <v>0</v>
      </c>
      <c r="L19" s="52">
        <v>0</v>
      </c>
      <c r="M19" s="52">
        <v>1</v>
      </c>
      <c r="N19" s="52">
        <v>0</v>
      </c>
      <c r="O19" s="52">
        <v>0</v>
      </c>
      <c r="P19" s="52">
        <v>2</v>
      </c>
      <c r="Q19" s="52">
        <v>0</v>
      </c>
      <c r="R19" s="52">
        <v>1</v>
      </c>
      <c r="S19" s="52">
        <v>0</v>
      </c>
      <c r="T19" s="52">
        <v>0</v>
      </c>
      <c r="U19" s="52">
        <v>0</v>
      </c>
      <c r="V19" s="52">
        <v>0</v>
      </c>
      <c r="W19" s="52">
        <v>1</v>
      </c>
      <c r="X19" s="52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0</v>
      </c>
      <c r="AJ19" s="55">
        <v>0</v>
      </c>
      <c r="AK19" s="55">
        <v>0</v>
      </c>
      <c r="AL19" s="55">
        <v>0</v>
      </c>
      <c r="AM19" s="55">
        <v>0</v>
      </c>
      <c r="AN19" s="55">
        <v>0</v>
      </c>
      <c r="AO19" s="55">
        <v>0</v>
      </c>
      <c r="AP19" s="55">
        <v>0</v>
      </c>
      <c r="AQ19" s="55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24"/>
      <c r="CI19" s="24"/>
      <c r="CJ19" s="24"/>
      <c r="CK19" s="24"/>
      <c r="CL19" s="24"/>
      <c r="CM19" s="24"/>
      <c r="CN19" s="24"/>
      <c r="CO19" s="24"/>
      <c r="CP19" s="24"/>
      <c r="CQ19" s="24"/>
    </row>
    <row r="20" spans="1:95" s="5" customFormat="1" ht="24.95" customHeight="1" thickBot="1" x14ac:dyDescent="0.35">
      <c r="A20" s="56" t="s">
        <v>3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0</v>
      </c>
      <c r="AE20" s="58">
        <v>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0</v>
      </c>
      <c r="AQ20" s="58">
        <v>0</v>
      </c>
      <c r="AR20" s="58">
        <v>0</v>
      </c>
      <c r="AS20" s="58">
        <v>0</v>
      </c>
      <c r="AT20" s="58">
        <v>0</v>
      </c>
      <c r="AU20" s="58">
        <v>0</v>
      </c>
      <c r="AV20" s="58">
        <v>0</v>
      </c>
      <c r="AW20" s="58">
        <v>0</v>
      </c>
      <c r="AX20" s="58">
        <v>0</v>
      </c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28"/>
      <c r="CI20" s="28"/>
      <c r="CJ20" s="28"/>
      <c r="CK20" s="28"/>
      <c r="CL20" s="28"/>
      <c r="CM20" s="28"/>
      <c r="CN20" s="28"/>
      <c r="CO20" s="28"/>
      <c r="CP20" s="28"/>
      <c r="CQ20" s="28"/>
    </row>
    <row r="21" spans="1:95" s="5" customFormat="1" ht="24.95" customHeight="1" x14ac:dyDescent="0.3">
      <c r="A21" s="59" t="s">
        <v>56</v>
      </c>
      <c r="B21" s="53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28"/>
      <c r="CI21" s="28"/>
      <c r="CJ21" s="28"/>
      <c r="CK21" s="28"/>
      <c r="CL21" s="28"/>
      <c r="CM21" s="28"/>
      <c r="CN21" s="28"/>
      <c r="CO21" s="28"/>
      <c r="CP21" s="28"/>
      <c r="CQ21" s="28"/>
    </row>
    <row r="22" spans="1:95" s="10" customFormat="1" ht="24.95" customHeight="1" x14ac:dyDescent="0.2">
      <c r="A22" s="51" t="s">
        <v>1</v>
      </c>
      <c r="B22" s="67">
        <f>SUM(B23,B24)</f>
        <v>891</v>
      </c>
      <c r="C22" s="67">
        <f t="shared" ref="C22:AX22" si="3">SUM(C23,C24)</f>
        <v>1023</v>
      </c>
      <c r="D22" s="67">
        <f t="shared" si="3"/>
        <v>1039</v>
      </c>
      <c r="E22" s="67">
        <f t="shared" si="3"/>
        <v>1123</v>
      </c>
      <c r="F22" s="67">
        <f t="shared" si="3"/>
        <v>1128</v>
      </c>
      <c r="G22" s="67">
        <f t="shared" si="3"/>
        <v>1315</v>
      </c>
      <c r="H22" s="67">
        <f t="shared" si="3"/>
        <v>1386</v>
      </c>
      <c r="I22" s="67">
        <f t="shared" si="3"/>
        <v>1421</v>
      </c>
      <c r="J22" s="67">
        <f t="shared" si="3"/>
        <v>1499</v>
      </c>
      <c r="K22" s="67">
        <f t="shared" si="3"/>
        <v>1501</v>
      </c>
      <c r="L22" s="67">
        <f t="shared" si="3"/>
        <v>1365</v>
      </c>
      <c r="M22" s="67">
        <f t="shared" si="3"/>
        <v>1308</v>
      </c>
      <c r="N22" s="67">
        <f t="shared" si="3"/>
        <v>1203</v>
      </c>
      <c r="O22" s="67">
        <f t="shared" si="3"/>
        <v>1193</v>
      </c>
      <c r="P22" s="67">
        <f t="shared" si="3"/>
        <v>1103</v>
      </c>
      <c r="Q22" s="67">
        <f t="shared" si="3"/>
        <v>1078</v>
      </c>
      <c r="R22" s="67">
        <f t="shared" si="3"/>
        <v>986</v>
      </c>
      <c r="S22" s="67">
        <f t="shared" si="3"/>
        <v>922</v>
      </c>
      <c r="T22" s="67">
        <f t="shared" si="3"/>
        <v>807</v>
      </c>
      <c r="U22" s="67">
        <f t="shared" si="3"/>
        <v>812</v>
      </c>
      <c r="V22" s="67">
        <f t="shared" si="3"/>
        <v>788</v>
      </c>
      <c r="W22" s="67">
        <f t="shared" si="3"/>
        <v>776</v>
      </c>
      <c r="X22" s="67">
        <f t="shared" si="3"/>
        <v>997</v>
      </c>
      <c r="Y22" s="72">
        <f t="shared" si="3"/>
        <v>980</v>
      </c>
      <c r="Z22" s="72">
        <f t="shared" si="3"/>
        <v>1062</v>
      </c>
      <c r="AA22" s="72">
        <f t="shared" si="3"/>
        <v>981</v>
      </c>
      <c r="AB22" s="72">
        <f t="shared" si="3"/>
        <v>922</v>
      </c>
      <c r="AC22" s="72">
        <f t="shared" si="3"/>
        <v>846</v>
      </c>
      <c r="AD22" s="72">
        <f t="shared" si="3"/>
        <v>827</v>
      </c>
      <c r="AE22" s="72">
        <f t="shared" si="3"/>
        <v>839</v>
      </c>
      <c r="AF22" s="72">
        <f t="shared" si="3"/>
        <v>810</v>
      </c>
      <c r="AG22" s="72">
        <f t="shared" si="3"/>
        <v>924</v>
      </c>
      <c r="AH22" s="72">
        <f t="shared" si="3"/>
        <v>976</v>
      </c>
      <c r="AI22" s="72">
        <f t="shared" si="3"/>
        <v>991</v>
      </c>
      <c r="AJ22" s="72">
        <f t="shared" si="3"/>
        <v>939</v>
      </c>
      <c r="AK22" s="72">
        <f t="shared" si="3"/>
        <v>848</v>
      </c>
      <c r="AL22" s="72">
        <f t="shared" si="3"/>
        <v>812</v>
      </c>
      <c r="AM22" s="72">
        <f t="shared" si="3"/>
        <v>818</v>
      </c>
      <c r="AN22" s="72">
        <f t="shared" si="3"/>
        <v>840</v>
      </c>
      <c r="AO22" s="72">
        <f t="shared" si="3"/>
        <v>930</v>
      </c>
      <c r="AP22" s="72">
        <f t="shared" si="3"/>
        <v>1017</v>
      </c>
      <c r="AQ22" s="72">
        <f t="shared" si="3"/>
        <v>1033</v>
      </c>
      <c r="AR22" s="72">
        <f t="shared" si="3"/>
        <v>1017</v>
      </c>
      <c r="AS22" s="72">
        <f t="shared" si="3"/>
        <v>1069</v>
      </c>
      <c r="AT22" s="72">
        <f t="shared" si="3"/>
        <v>1051</v>
      </c>
      <c r="AU22" s="72">
        <f t="shared" si="3"/>
        <v>1104</v>
      </c>
      <c r="AV22" s="72">
        <f t="shared" si="3"/>
        <v>1120</v>
      </c>
      <c r="AW22" s="72">
        <f t="shared" si="3"/>
        <v>800</v>
      </c>
      <c r="AX22" s="72">
        <f t="shared" si="3"/>
        <v>687</v>
      </c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24"/>
      <c r="CI22" s="24"/>
      <c r="CJ22" s="24"/>
      <c r="CK22" s="24"/>
      <c r="CL22" s="24"/>
      <c r="CM22" s="24"/>
      <c r="CN22" s="24"/>
      <c r="CO22" s="24"/>
      <c r="CP22" s="24"/>
      <c r="CQ22" s="24"/>
    </row>
    <row r="23" spans="1:95" s="5" customFormat="1" ht="24.95" customHeight="1" x14ac:dyDescent="0.3">
      <c r="A23" s="54" t="s">
        <v>2</v>
      </c>
      <c r="B23" s="52">
        <v>497</v>
      </c>
      <c r="C23" s="52">
        <v>538</v>
      </c>
      <c r="D23" s="52">
        <v>599</v>
      </c>
      <c r="E23" s="52">
        <v>588</v>
      </c>
      <c r="F23" s="52">
        <v>577</v>
      </c>
      <c r="G23" s="52">
        <v>684</v>
      </c>
      <c r="H23" s="52">
        <v>768</v>
      </c>
      <c r="I23" s="52">
        <v>797</v>
      </c>
      <c r="J23" s="52">
        <v>851</v>
      </c>
      <c r="K23" s="52">
        <v>877</v>
      </c>
      <c r="L23" s="52">
        <v>821</v>
      </c>
      <c r="M23" s="52">
        <v>773</v>
      </c>
      <c r="N23" s="52">
        <v>749</v>
      </c>
      <c r="O23" s="52">
        <v>743</v>
      </c>
      <c r="P23" s="52">
        <v>714</v>
      </c>
      <c r="Q23" s="52">
        <v>714</v>
      </c>
      <c r="R23" s="52">
        <v>669</v>
      </c>
      <c r="S23" s="52">
        <v>604</v>
      </c>
      <c r="T23" s="52">
        <v>510</v>
      </c>
      <c r="U23" s="52">
        <v>495</v>
      </c>
      <c r="V23" s="52">
        <v>465</v>
      </c>
      <c r="W23" s="52">
        <v>475</v>
      </c>
      <c r="X23" s="52">
        <v>604</v>
      </c>
      <c r="Y23" s="55">
        <v>602</v>
      </c>
      <c r="Z23" s="55">
        <v>625</v>
      </c>
      <c r="AA23" s="55">
        <v>587</v>
      </c>
      <c r="AB23" s="55">
        <v>541</v>
      </c>
      <c r="AC23" s="55">
        <v>506</v>
      </c>
      <c r="AD23" s="55">
        <v>510</v>
      </c>
      <c r="AE23" s="55">
        <v>522</v>
      </c>
      <c r="AF23" s="55">
        <v>479</v>
      </c>
      <c r="AG23" s="55">
        <v>558</v>
      </c>
      <c r="AH23" s="55">
        <v>598</v>
      </c>
      <c r="AI23" s="55">
        <v>627</v>
      </c>
      <c r="AJ23" s="55">
        <v>625</v>
      </c>
      <c r="AK23" s="55">
        <v>540</v>
      </c>
      <c r="AL23" s="55">
        <v>479</v>
      </c>
      <c r="AM23" s="55">
        <v>489</v>
      </c>
      <c r="AN23" s="55">
        <v>463</v>
      </c>
      <c r="AO23" s="55">
        <v>480</v>
      </c>
      <c r="AP23" s="55">
        <v>542</v>
      </c>
      <c r="AQ23" s="55">
        <v>535</v>
      </c>
      <c r="AR23" s="55">
        <v>503</v>
      </c>
      <c r="AS23" s="55">
        <v>531</v>
      </c>
      <c r="AT23" s="55">
        <v>531</v>
      </c>
      <c r="AU23" s="55">
        <v>571</v>
      </c>
      <c r="AV23" s="55">
        <v>570</v>
      </c>
      <c r="AW23" s="55">
        <v>394</v>
      </c>
      <c r="AX23" s="55">
        <v>368</v>
      </c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28"/>
      <c r="CI23" s="28"/>
      <c r="CJ23" s="28"/>
      <c r="CK23" s="28"/>
      <c r="CL23" s="28"/>
      <c r="CM23" s="28"/>
      <c r="CN23" s="28"/>
      <c r="CO23" s="28"/>
      <c r="CP23" s="28"/>
      <c r="CQ23" s="28"/>
    </row>
    <row r="24" spans="1:95" s="5" customFormat="1" ht="24.95" customHeight="1" x14ac:dyDescent="0.3">
      <c r="A24" s="54" t="s">
        <v>3</v>
      </c>
      <c r="B24" s="52">
        <v>394</v>
      </c>
      <c r="C24" s="52">
        <v>485</v>
      </c>
      <c r="D24" s="52">
        <v>440</v>
      </c>
      <c r="E24" s="52">
        <v>535</v>
      </c>
      <c r="F24" s="52">
        <v>551</v>
      </c>
      <c r="G24" s="52">
        <v>631</v>
      </c>
      <c r="H24" s="52">
        <v>618</v>
      </c>
      <c r="I24" s="52">
        <v>624</v>
      </c>
      <c r="J24" s="52">
        <v>648</v>
      </c>
      <c r="K24" s="52">
        <v>624</v>
      </c>
      <c r="L24" s="52">
        <v>544</v>
      </c>
      <c r="M24" s="52">
        <v>535</v>
      </c>
      <c r="N24" s="52">
        <v>454</v>
      </c>
      <c r="O24" s="52">
        <v>450</v>
      </c>
      <c r="P24" s="52">
        <v>389</v>
      </c>
      <c r="Q24" s="52">
        <v>364</v>
      </c>
      <c r="R24" s="52">
        <v>317</v>
      </c>
      <c r="S24" s="52">
        <v>318</v>
      </c>
      <c r="T24" s="52">
        <v>297</v>
      </c>
      <c r="U24" s="52">
        <v>317</v>
      </c>
      <c r="V24" s="52">
        <v>323</v>
      </c>
      <c r="W24" s="52">
        <v>301</v>
      </c>
      <c r="X24" s="52">
        <v>393</v>
      </c>
      <c r="Y24" s="55">
        <v>378</v>
      </c>
      <c r="Z24" s="55">
        <v>437</v>
      </c>
      <c r="AA24" s="55">
        <v>394</v>
      </c>
      <c r="AB24" s="55">
        <v>381</v>
      </c>
      <c r="AC24" s="55">
        <v>340</v>
      </c>
      <c r="AD24" s="55">
        <v>317</v>
      </c>
      <c r="AE24" s="55">
        <v>317</v>
      </c>
      <c r="AF24" s="55">
        <v>331</v>
      </c>
      <c r="AG24" s="55">
        <v>366</v>
      </c>
      <c r="AH24" s="55">
        <v>378</v>
      </c>
      <c r="AI24" s="55">
        <v>364</v>
      </c>
      <c r="AJ24" s="55">
        <v>314</v>
      </c>
      <c r="AK24" s="55">
        <v>308</v>
      </c>
      <c r="AL24" s="55">
        <v>333</v>
      </c>
      <c r="AM24" s="55">
        <v>329</v>
      </c>
      <c r="AN24" s="55">
        <v>377</v>
      </c>
      <c r="AO24" s="55">
        <v>450</v>
      </c>
      <c r="AP24" s="55">
        <v>475</v>
      </c>
      <c r="AQ24" s="55">
        <v>498</v>
      </c>
      <c r="AR24" s="55">
        <v>514</v>
      </c>
      <c r="AS24" s="55">
        <v>538</v>
      </c>
      <c r="AT24" s="55">
        <v>520</v>
      </c>
      <c r="AU24" s="55">
        <v>533</v>
      </c>
      <c r="AV24" s="55">
        <v>550</v>
      </c>
      <c r="AW24" s="55">
        <v>406</v>
      </c>
      <c r="AX24" s="55">
        <v>319</v>
      </c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28"/>
      <c r="CI24" s="28"/>
      <c r="CJ24" s="28"/>
      <c r="CK24" s="28"/>
      <c r="CL24" s="28"/>
      <c r="CM24" s="28"/>
      <c r="CN24" s="28"/>
      <c r="CO24" s="28"/>
      <c r="CP24" s="28"/>
      <c r="CQ24" s="28"/>
    </row>
    <row r="25" spans="1:95" s="10" customFormat="1" ht="24.95" customHeight="1" x14ac:dyDescent="0.2">
      <c r="A25" s="51" t="s">
        <v>4</v>
      </c>
      <c r="B25" s="67">
        <f>SUM(B26,B27)</f>
        <v>141</v>
      </c>
      <c r="C25" s="67">
        <f t="shared" ref="C25:AX25" si="4">SUM(C26,C27)</f>
        <v>168</v>
      </c>
      <c r="D25" s="67">
        <f t="shared" si="4"/>
        <v>164</v>
      </c>
      <c r="E25" s="67">
        <f t="shared" si="4"/>
        <v>226</v>
      </c>
      <c r="F25" s="67">
        <f t="shared" si="4"/>
        <v>211</v>
      </c>
      <c r="G25" s="67">
        <f t="shared" si="4"/>
        <v>268</v>
      </c>
      <c r="H25" s="67">
        <f t="shared" si="4"/>
        <v>233</v>
      </c>
      <c r="I25" s="67">
        <f t="shared" si="4"/>
        <v>242</v>
      </c>
      <c r="J25" s="67">
        <f t="shared" si="4"/>
        <v>247</v>
      </c>
      <c r="K25" s="67">
        <f t="shared" si="4"/>
        <v>251</v>
      </c>
      <c r="L25" s="67">
        <f t="shared" si="4"/>
        <v>231</v>
      </c>
      <c r="M25" s="67">
        <f t="shared" si="4"/>
        <v>225</v>
      </c>
      <c r="N25" s="67">
        <f t="shared" si="4"/>
        <v>286</v>
      </c>
      <c r="O25" s="67">
        <f t="shared" si="4"/>
        <v>258</v>
      </c>
      <c r="P25" s="67">
        <f t="shared" si="4"/>
        <v>251</v>
      </c>
      <c r="Q25" s="67">
        <f t="shared" si="4"/>
        <v>243</v>
      </c>
      <c r="R25" s="67">
        <f t="shared" si="4"/>
        <v>230</v>
      </c>
      <c r="S25" s="67">
        <f t="shared" si="4"/>
        <v>226</v>
      </c>
      <c r="T25" s="67">
        <f t="shared" si="4"/>
        <v>212</v>
      </c>
      <c r="U25" s="67">
        <f t="shared" si="4"/>
        <v>208</v>
      </c>
      <c r="V25" s="67">
        <f t="shared" si="4"/>
        <v>205</v>
      </c>
      <c r="W25" s="67">
        <f t="shared" si="4"/>
        <v>171</v>
      </c>
      <c r="X25" s="67">
        <f t="shared" si="4"/>
        <v>241</v>
      </c>
      <c r="Y25" s="72">
        <f t="shared" si="4"/>
        <v>240</v>
      </c>
      <c r="Z25" s="72">
        <f t="shared" si="4"/>
        <v>238</v>
      </c>
      <c r="AA25" s="72">
        <f t="shared" si="4"/>
        <v>215</v>
      </c>
      <c r="AB25" s="72">
        <f t="shared" si="4"/>
        <v>195</v>
      </c>
      <c r="AC25" s="72">
        <f t="shared" si="4"/>
        <v>167</v>
      </c>
      <c r="AD25" s="72">
        <f t="shared" si="4"/>
        <v>155</v>
      </c>
      <c r="AE25" s="72">
        <f t="shared" si="4"/>
        <v>153</v>
      </c>
      <c r="AF25" s="72">
        <f t="shared" si="4"/>
        <v>145</v>
      </c>
      <c r="AG25" s="72">
        <f t="shared" si="4"/>
        <v>161</v>
      </c>
      <c r="AH25" s="72">
        <f t="shared" si="4"/>
        <v>194</v>
      </c>
      <c r="AI25" s="72">
        <f t="shared" si="4"/>
        <v>183</v>
      </c>
      <c r="AJ25" s="72">
        <f t="shared" si="4"/>
        <v>204</v>
      </c>
      <c r="AK25" s="72">
        <f t="shared" si="4"/>
        <v>197</v>
      </c>
      <c r="AL25" s="72">
        <f t="shared" si="4"/>
        <v>178</v>
      </c>
      <c r="AM25" s="72">
        <f t="shared" si="4"/>
        <v>148</v>
      </c>
      <c r="AN25" s="72">
        <f t="shared" si="4"/>
        <v>153</v>
      </c>
      <c r="AO25" s="72">
        <f t="shared" si="4"/>
        <v>263</v>
      </c>
      <c r="AP25" s="72">
        <f t="shared" si="4"/>
        <v>246</v>
      </c>
      <c r="AQ25" s="72">
        <f t="shared" si="4"/>
        <v>289</v>
      </c>
      <c r="AR25" s="72">
        <f t="shared" si="4"/>
        <v>282</v>
      </c>
      <c r="AS25" s="72">
        <f t="shared" si="4"/>
        <v>342</v>
      </c>
      <c r="AT25" s="72">
        <f t="shared" si="4"/>
        <v>344</v>
      </c>
      <c r="AU25" s="72">
        <f t="shared" si="4"/>
        <v>376</v>
      </c>
      <c r="AV25" s="72">
        <f t="shared" si="4"/>
        <v>366</v>
      </c>
      <c r="AW25" s="72">
        <f t="shared" si="4"/>
        <v>463</v>
      </c>
      <c r="AX25" s="72">
        <f t="shared" si="4"/>
        <v>450</v>
      </c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24"/>
      <c r="CI25" s="24"/>
      <c r="CJ25" s="24"/>
      <c r="CK25" s="24"/>
      <c r="CL25" s="24"/>
      <c r="CM25" s="24"/>
      <c r="CN25" s="24"/>
      <c r="CO25" s="24"/>
      <c r="CP25" s="24"/>
      <c r="CQ25" s="24"/>
    </row>
    <row r="26" spans="1:95" s="5" customFormat="1" ht="24.95" customHeight="1" x14ac:dyDescent="0.3">
      <c r="A26" s="54" t="s">
        <v>2</v>
      </c>
      <c r="B26" s="52">
        <v>32</v>
      </c>
      <c r="C26" s="52">
        <v>26</v>
      </c>
      <c r="D26" s="52">
        <v>43</v>
      </c>
      <c r="E26" s="52">
        <v>48</v>
      </c>
      <c r="F26" s="52">
        <v>54</v>
      </c>
      <c r="G26" s="52">
        <v>54</v>
      </c>
      <c r="H26" s="52">
        <v>61</v>
      </c>
      <c r="I26" s="52">
        <v>56</v>
      </c>
      <c r="J26" s="52">
        <v>46</v>
      </c>
      <c r="K26" s="52">
        <v>43</v>
      </c>
      <c r="L26" s="52">
        <v>44</v>
      </c>
      <c r="M26" s="52">
        <v>57</v>
      </c>
      <c r="N26" s="52">
        <v>82</v>
      </c>
      <c r="O26" s="52">
        <v>69</v>
      </c>
      <c r="P26" s="52">
        <v>68</v>
      </c>
      <c r="Q26" s="52">
        <v>73</v>
      </c>
      <c r="R26" s="52">
        <v>63</v>
      </c>
      <c r="S26" s="52">
        <v>75</v>
      </c>
      <c r="T26" s="52">
        <v>57</v>
      </c>
      <c r="U26" s="52">
        <v>58</v>
      </c>
      <c r="V26" s="52">
        <v>49</v>
      </c>
      <c r="W26" s="52">
        <v>46</v>
      </c>
      <c r="X26" s="52">
        <v>67</v>
      </c>
      <c r="Y26" s="55">
        <v>55</v>
      </c>
      <c r="Z26" s="55">
        <v>57</v>
      </c>
      <c r="AA26" s="55">
        <v>67</v>
      </c>
      <c r="AB26" s="55">
        <v>56</v>
      </c>
      <c r="AC26" s="55">
        <v>53</v>
      </c>
      <c r="AD26" s="55">
        <v>64</v>
      </c>
      <c r="AE26" s="55">
        <v>67</v>
      </c>
      <c r="AF26" s="55">
        <v>51</v>
      </c>
      <c r="AG26" s="55">
        <v>49</v>
      </c>
      <c r="AH26" s="55">
        <v>59</v>
      </c>
      <c r="AI26" s="55">
        <v>48</v>
      </c>
      <c r="AJ26" s="55">
        <v>56</v>
      </c>
      <c r="AK26" s="55">
        <v>49</v>
      </c>
      <c r="AL26" s="55">
        <v>43</v>
      </c>
      <c r="AM26" s="55">
        <v>32</v>
      </c>
      <c r="AN26" s="55">
        <v>38</v>
      </c>
      <c r="AO26" s="55">
        <v>35</v>
      </c>
      <c r="AP26" s="55">
        <v>51</v>
      </c>
      <c r="AQ26" s="55">
        <v>66</v>
      </c>
      <c r="AR26" s="55">
        <v>64</v>
      </c>
      <c r="AS26" s="55">
        <v>78</v>
      </c>
      <c r="AT26" s="55">
        <v>70</v>
      </c>
      <c r="AU26" s="55">
        <v>68</v>
      </c>
      <c r="AV26" s="55">
        <v>55</v>
      </c>
      <c r="AW26" s="55">
        <v>125</v>
      </c>
      <c r="AX26" s="55">
        <v>118</v>
      </c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28"/>
      <c r="CI26" s="28"/>
      <c r="CJ26" s="28"/>
      <c r="CK26" s="28"/>
      <c r="CL26" s="28"/>
      <c r="CM26" s="28"/>
      <c r="CN26" s="28"/>
      <c r="CO26" s="28"/>
      <c r="CP26" s="28"/>
      <c r="CQ26" s="28"/>
    </row>
    <row r="27" spans="1:95" s="5" customFormat="1" ht="24.95" customHeight="1" x14ac:dyDescent="0.3">
      <c r="A27" s="54" t="s">
        <v>3</v>
      </c>
      <c r="B27" s="52">
        <v>109</v>
      </c>
      <c r="C27" s="52">
        <v>142</v>
      </c>
      <c r="D27" s="52">
        <v>121</v>
      </c>
      <c r="E27" s="52">
        <v>178</v>
      </c>
      <c r="F27" s="52">
        <v>157</v>
      </c>
      <c r="G27" s="52">
        <v>214</v>
      </c>
      <c r="H27" s="52">
        <v>172</v>
      </c>
      <c r="I27" s="52">
        <v>186</v>
      </c>
      <c r="J27" s="52">
        <v>201</v>
      </c>
      <c r="K27" s="52">
        <v>208</v>
      </c>
      <c r="L27" s="52">
        <v>187</v>
      </c>
      <c r="M27" s="52">
        <v>168</v>
      </c>
      <c r="N27" s="52">
        <v>204</v>
      </c>
      <c r="O27" s="52">
        <v>189</v>
      </c>
      <c r="P27" s="52">
        <v>183</v>
      </c>
      <c r="Q27" s="52">
        <v>170</v>
      </c>
      <c r="R27" s="52">
        <v>167</v>
      </c>
      <c r="S27" s="52">
        <v>151</v>
      </c>
      <c r="T27" s="52">
        <v>155</v>
      </c>
      <c r="U27" s="52">
        <v>150</v>
      </c>
      <c r="V27" s="52">
        <v>156</v>
      </c>
      <c r="W27" s="52">
        <v>125</v>
      </c>
      <c r="X27" s="52">
        <v>174</v>
      </c>
      <c r="Y27" s="55">
        <v>185</v>
      </c>
      <c r="Z27" s="55">
        <v>181</v>
      </c>
      <c r="AA27" s="55">
        <v>148</v>
      </c>
      <c r="AB27" s="55">
        <v>139</v>
      </c>
      <c r="AC27" s="55">
        <v>114</v>
      </c>
      <c r="AD27" s="55">
        <v>91</v>
      </c>
      <c r="AE27" s="55">
        <v>86</v>
      </c>
      <c r="AF27" s="55">
        <v>94</v>
      </c>
      <c r="AG27" s="55">
        <v>112</v>
      </c>
      <c r="AH27" s="55">
        <v>135</v>
      </c>
      <c r="AI27" s="55">
        <v>135</v>
      </c>
      <c r="AJ27" s="55">
        <v>148</v>
      </c>
      <c r="AK27" s="55">
        <v>148</v>
      </c>
      <c r="AL27" s="55">
        <v>135</v>
      </c>
      <c r="AM27" s="55">
        <v>116</v>
      </c>
      <c r="AN27" s="55">
        <v>115</v>
      </c>
      <c r="AO27" s="55">
        <v>228</v>
      </c>
      <c r="AP27" s="55">
        <v>195</v>
      </c>
      <c r="AQ27" s="55">
        <v>223</v>
      </c>
      <c r="AR27" s="55">
        <v>218</v>
      </c>
      <c r="AS27" s="55">
        <v>264</v>
      </c>
      <c r="AT27" s="55">
        <v>274</v>
      </c>
      <c r="AU27" s="55">
        <v>308</v>
      </c>
      <c r="AV27" s="55">
        <v>311</v>
      </c>
      <c r="AW27" s="55">
        <v>338</v>
      </c>
      <c r="AX27" s="55">
        <v>332</v>
      </c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28"/>
      <c r="CI27" s="28"/>
      <c r="CJ27" s="28"/>
      <c r="CK27" s="28"/>
      <c r="CL27" s="28"/>
      <c r="CM27" s="28"/>
      <c r="CN27" s="28"/>
      <c r="CO27" s="28"/>
      <c r="CP27" s="28"/>
      <c r="CQ27" s="28"/>
    </row>
    <row r="28" spans="1:95" s="10" customFormat="1" ht="24.95" customHeight="1" x14ac:dyDescent="0.2">
      <c r="A28" s="51" t="s">
        <v>5</v>
      </c>
      <c r="B28" s="67">
        <f>SUM(B29,B30)</f>
        <v>14</v>
      </c>
      <c r="C28" s="67">
        <f t="shared" ref="C28:AX28" si="5">SUM(C29,C30)</f>
        <v>12</v>
      </c>
      <c r="D28" s="67">
        <f t="shared" si="5"/>
        <v>26</v>
      </c>
      <c r="E28" s="67">
        <f t="shared" si="5"/>
        <v>9</v>
      </c>
      <c r="F28" s="67">
        <f t="shared" si="5"/>
        <v>8</v>
      </c>
      <c r="G28" s="67">
        <f t="shared" si="5"/>
        <v>8</v>
      </c>
      <c r="H28" s="67">
        <f t="shared" si="5"/>
        <v>13</v>
      </c>
      <c r="I28" s="67">
        <f t="shared" si="5"/>
        <v>13</v>
      </c>
      <c r="J28" s="67">
        <f t="shared" si="5"/>
        <v>17</v>
      </c>
      <c r="K28" s="67">
        <f t="shared" si="5"/>
        <v>16</v>
      </c>
      <c r="L28" s="67">
        <f t="shared" si="5"/>
        <v>26</v>
      </c>
      <c r="M28" s="67">
        <f t="shared" si="5"/>
        <v>18</v>
      </c>
      <c r="N28" s="67">
        <f t="shared" si="5"/>
        <v>32</v>
      </c>
      <c r="O28" s="67">
        <f t="shared" si="5"/>
        <v>23</v>
      </c>
      <c r="P28" s="67">
        <f t="shared" si="5"/>
        <v>23</v>
      </c>
      <c r="Q28" s="67">
        <f t="shared" si="5"/>
        <v>16</v>
      </c>
      <c r="R28" s="67">
        <f t="shared" si="5"/>
        <v>16</v>
      </c>
      <c r="S28" s="67">
        <f t="shared" si="5"/>
        <v>12</v>
      </c>
      <c r="T28" s="67">
        <f t="shared" si="5"/>
        <v>12</v>
      </c>
      <c r="U28" s="67">
        <f t="shared" si="5"/>
        <v>5</v>
      </c>
      <c r="V28" s="67">
        <f t="shared" si="5"/>
        <v>4</v>
      </c>
      <c r="W28" s="67">
        <f t="shared" si="5"/>
        <v>13</v>
      </c>
      <c r="X28" s="67">
        <f t="shared" si="5"/>
        <v>4</v>
      </c>
      <c r="Y28" s="72">
        <f t="shared" si="5"/>
        <v>1</v>
      </c>
      <c r="Z28" s="72">
        <f t="shared" si="5"/>
        <v>0</v>
      </c>
      <c r="AA28" s="72">
        <f t="shared" si="5"/>
        <v>0</v>
      </c>
      <c r="AB28" s="72">
        <f t="shared" si="5"/>
        <v>0</v>
      </c>
      <c r="AC28" s="72">
        <f t="shared" si="5"/>
        <v>0</v>
      </c>
      <c r="AD28" s="72">
        <f t="shared" si="5"/>
        <v>0</v>
      </c>
      <c r="AE28" s="72">
        <f t="shared" si="5"/>
        <v>0</v>
      </c>
      <c r="AF28" s="72">
        <f t="shared" si="5"/>
        <v>0</v>
      </c>
      <c r="AG28" s="72">
        <f t="shared" si="5"/>
        <v>0</v>
      </c>
      <c r="AH28" s="72">
        <f t="shared" si="5"/>
        <v>0</v>
      </c>
      <c r="AI28" s="72">
        <f t="shared" si="5"/>
        <v>0</v>
      </c>
      <c r="AJ28" s="72">
        <f t="shared" si="5"/>
        <v>0</v>
      </c>
      <c r="AK28" s="72">
        <f t="shared" si="5"/>
        <v>0</v>
      </c>
      <c r="AL28" s="72">
        <f t="shared" si="5"/>
        <v>0</v>
      </c>
      <c r="AM28" s="72">
        <f t="shared" si="5"/>
        <v>0</v>
      </c>
      <c r="AN28" s="72">
        <f t="shared" si="5"/>
        <v>0</v>
      </c>
      <c r="AO28" s="72">
        <f t="shared" si="5"/>
        <v>0</v>
      </c>
      <c r="AP28" s="72">
        <f t="shared" si="5"/>
        <v>0</v>
      </c>
      <c r="AQ28" s="72">
        <f t="shared" si="5"/>
        <v>0</v>
      </c>
      <c r="AR28" s="72">
        <f t="shared" si="5"/>
        <v>0</v>
      </c>
      <c r="AS28" s="72">
        <f t="shared" si="5"/>
        <v>0</v>
      </c>
      <c r="AT28" s="72">
        <f t="shared" si="5"/>
        <v>0</v>
      </c>
      <c r="AU28" s="72">
        <f t="shared" si="5"/>
        <v>0</v>
      </c>
      <c r="AV28" s="72">
        <f t="shared" si="5"/>
        <v>0</v>
      </c>
      <c r="AW28" s="72">
        <f t="shared" si="5"/>
        <v>0</v>
      </c>
      <c r="AX28" s="72">
        <f t="shared" si="5"/>
        <v>0</v>
      </c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24"/>
      <c r="CI28" s="24"/>
      <c r="CJ28" s="24"/>
      <c r="CK28" s="24"/>
      <c r="CL28" s="24"/>
      <c r="CM28" s="24"/>
      <c r="CN28" s="24"/>
      <c r="CO28" s="24"/>
      <c r="CP28" s="24"/>
      <c r="CQ28" s="24"/>
    </row>
    <row r="29" spans="1:95" s="5" customFormat="1" ht="24.95" customHeight="1" x14ac:dyDescent="0.3">
      <c r="A29" s="54" t="s">
        <v>2</v>
      </c>
      <c r="B29" s="52">
        <v>14</v>
      </c>
      <c r="C29" s="52">
        <v>12</v>
      </c>
      <c r="D29" s="52">
        <v>26</v>
      </c>
      <c r="E29" s="52">
        <f>3+6</f>
        <v>9</v>
      </c>
      <c r="F29" s="52">
        <f>2+6</f>
        <v>8</v>
      </c>
      <c r="G29" s="52">
        <f>2+6</f>
        <v>8</v>
      </c>
      <c r="H29" s="52">
        <f>2+11</f>
        <v>13</v>
      </c>
      <c r="I29" s="52">
        <v>13</v>
      </c>
      <c r="J29" s="52">
        <v>17</v>
      </c>
      <c r="K29" s="52">
        <v>16</v>
      </c>
      <c r="L29" s="52">
        <v>26</v>
      </c>
      <c r="M29" s="52">
        <v>18</v>
      </c>
      <c r="N29" s="52">
        <f>26+5</f>
        <v>31</v>
      </c>
      <c r="O29" s="52">
        <v>23</v>
      </c>
      <c r="P29" s="52">
        <v>23</v>
      </c>
      <c r="Q29" s="52">
        <v>16</v>
      </c>
      <c r="R29" s="52">
        <v>16</v>
      </c>
      <c r="S29" s="52">
        <v>11</v>
      </c>
      <c r="T29" s="52">
        <f>5+7</f>
        <v>12</v>
      </c>
      <c r="U29" s="52">
        <f>4+1</f>
        <v>5</v>
      </c>
      <c r="V29" s="52">
        <v>4</v>
      </c>
      <c r="W29" s="52">
        <v>11</v>
      </c>
      <c r="X29" s="52">
        <v>4</v>
      </c>
      <c r="Y29" s="55">
        <v>1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28"/>
      <c r="CI29" s="28"/>
      <c r="CJ29" s="28"/>
      <c r="CK29" s="28"/>
      <c r="CL29" s="28"/>
      <c r="CM29" s="28"/>
      <c r="CN29" s="28"/>
      <c r="CO29" s="28"/>
      <c r="CP29" s="28"/>
      <c r="CQ29" s="28"/>
    </row>
    <row r="30" spans="1:95" s="5" customFormat="1" ht="24.95" customHeight="1" thickBot="1" x14ac:dyDescent="0.35">
      <c r="A30" s="56" t="s">
        <v>3</v>
      </c>
      <c r="B30" s="57">
        <v>0</v>
      </c>
      <c r="C30" s="57">
        <v>0</v>
      </c>
      <c r="D30" s="57">
        <v>0</v>
      </c>
      <c r="E30" s="57">
        <v>0</v>
      </c>
      <c r="F30" s="57">
        <v>0</v>
      </c>
      <c r="G30" s="57">
        <f>0+0</f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1</v>
      </c>
      <c r="O30" s="57">
        <v>0</v>
      </c>
      <c r="P30" s="57">
        <v>0</v>
      </c>
      <c r="Q30" s="57">
        <v>0</v>
      </c>
      <c r="R30" s="57">
        <v>0</v>
      </c>
      <c r="S30" s="57">
        <v>1</v>
      </c>
      <c r="T30" s="57">
        <v>0</v>
      </c>
      <c r="U30" s="57">
        <f>0</f>
        <v>0</v>
      </c>
      <c r="V30" s="57">
        <v>0</v>
      </c>
      <c r="W30" s="57">
        <v>2</v>
      </c>
      <c r="X30" s="57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58">
        <v>0</v>
      </c>
      <c r="AE30" s="58">
        <v>0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0</v>
      </c>
      <c r="AM30" s="58">
        <v>0</v>
      </c>
      <c r="AN30" s="58">
        <v>0</v>
      </c>
      <c r="AO30" s="58">
        <v>0</v>
      </c>
      <c r="AP30" s="58">
        <v>0</v>
      </c>
      <c r="AQ30" s="58">
        <v>0</v>
      </c>
      <c r="AR30" s="58">
        <v>0</v>
      </c>
      <c r="AS30" s="58">
        <v>0</v>
      </c>
      <c r="AT30" s="58">
        <v>0</v>
      </c>
      <c r="AU30" s="58">
        <v>0</v>
      </c>
      <c r="AV30" s="58">
        <v>0</v>
      </c>
      <c r="AW30" s="58">
        <v>0</v>
      </c>
      <c r="AX30" s="58">
        <v>0</v>
      </c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28"/>
      <c r="CI30" s="28"/>
      <c r="CJ30" s="28"/>
      <c r="CK30" s="28"/>
      <c r="CL30" s="28"/>
      <c r="CM30" s="28"/>
      <c r="CN30" s="28"/>
      <c r="CO30" s="28"/>
      <c r="CP30" s="28"/>
      <c r="CQ30" s="28"/>
    </row>
    <row r="31" spans="1:95" s="5" customFormat="1" ht="24.95" customHeight="1" x14ac:dyDescent="0.3">
      <c r="A31" s="60" t="s">
        <v>57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28"/>
      <c r="CI31" s="28"/>
      <c r="CJ31" s="28"/>
      <c r="CK31" s="28"/>
      <c r="CL31" s="28"/>
      <c r="CM31" s="28"/>
      <c r="CN31" s="28"/>
      <c r="CO31" s="28"/>
      <c r="CP31" s="28"/>
      <c r="CQ31" s="28"/>
    </row>
    <row r="32" spans="1:95" s="10" customFormat="1" ht="24.95" customHeight="1" x14ac:dyDescent="0.3">
      <c r="A32" s="61" t="s">
        <v>1</v>
      </c>
      <c r="B32" s="67">
        <f>SUM(B33,B34)</f>
        <v>1371</v>
      </c>
      <c r="C32" s="67">
        <f t="shared" ref="C32:AX32" si="6">SUM(C33,C34)</f>
        <v>1581</v>
      </c>
      <c r="D32" s="67">
        <f t="shared" si="6"/>
        <v>1922</v>
      </c>
      <c r="E32" s="67">
        <f t="shared" si="6"/>
        <v>2224</v>
      </c>
      <c r="F32" s="67">
        <f t="shared" si="6"/>
        <v>2366</v>
      </c>
      <c r="G32" s="67">
        <f t="shared" si="6"/>
        <v>2645</v>
      </c>
      <c r="H32" s="67">
        <f t="shared" si="6"/>
        <v>2831</v>
      </c>
      <c r="I32" s="67">
        <f t="shared" si="6"/>
        <v>2893</v>
      </c>
      <c r="J32" s="67">
        <f t="shared" si="6"/>
        <v>3148</v>
      </c>
      <c r="K32" s="67">
        <f t="shared" si="6"/>
        <v>3420</v>
      </c>
      <c r="L32" s="67">
        <f t="shared" si="6"/>
        <v>3441</v>
      </c>
      <c r="M32" s="67">
        <f t="shared" si="6"/>
        <v>3454</v>
      </c>
      <c r="N32" s="67">
        <f t="shared" si="6"/>
        <v>3592</v>
      </c>
      <c r="O32" s="67">
        <f t="shared" si="6"/>
        <v>3613</v>
      </c>
      <c r="P32" s="67">
        <f t="shared" si="6"/>
        <v>3613</v>
      </c>
      <c r="Q32" s="67">
        <f t="shared" si="6"/>
        <v>3503</v>
      </c>
      <c r="R32" s="67">
        <f t="shared" si="6"/>
        <v>3349</v>
      </c>
      <c r="S32" s="67">
        <f t="shared" si="6"/>
        <v>3292</v>
      </c>
      <c r="T32" s="67">
        <f t="shared" si="6"/>
        <v>3225</v>
      </c>
      <c r="U32" s="67">
        <f t="shared" si="6"/>
        <v>3142</v>
      </c>
      <c r="V32" s="67">
        <f t="shared" si="6"/>
        <v>3085</v>
      </c>
      <c r="W32" s="67">
        <f t="shared" si="6"/>
        <v>3146</v>
      </c>
      <c r="X32" s="67">
        <f t="shared" si="6"/>
        <v>3505</v>
      </c>
      <c r="Y32" s="72">
        <f t="shared" si="6"/>
        <v>3441</v>
      </c>
      <c r="Z32" s="72">
        <f t="shared" si="6"/>
        <v>3391</v>
      </c>
      <c r="AA32" s="72">
        <f t="shared" si="6"/>
        <v>3438</v>
      </c>
      <c r="AB32" s="72">
        <f t="shared" si="6"/>
        <v>3487</v>
      </c>
      <c r="AC32" s="72">
        <f t="shared" si="6"/>
        <v>3482</v>
      </c>
      <c r="AD32" s="72">
        <f t="shared" si="6"/>
        <v>3466</v>
      </c>
      <c r="AE32" s="72">
        <f t="shared" si="6"/>
        <v>3505</v>
      </c>
      <c r="AF32" s="72">
        <f t="shared" si="6"/>
        <v>3384</v>
      </c>
      <c r="AG32" s="72">
        <f t="shared" si="6"/>
        <v>3284</v>
      </c>
      <c r="AH32" s="72">
        <f t="shared" si="6"/>
        <v>3286</v>
      </c>
      <c r="AI32" s="72">
        <f t="shared" si="6"/>
        <v>3337</v>
      </c>
      <c r="AJ32" s="72">
        <f t="shared" si="6"/>
        <v>3244</v>
      </c>
      <c r="AK32" s="72">
        <f t="shared" si="6"/>
        <v>3195</v>
      </c>
      <c r="AL32" s="72">
        <f t="shared" si="6"/>
        <v>3252</v>
      </c>
      <c r="AM32" s="72">
        <f t="shared" si="6"/>
        <v>3407</v>
      </c>
      <c r="AN32" s="72">
        <f t="shared" si="6"/>
        <v>3412</v>
      </c>
      <c r="AO32" s="72">
        <f t="shared" si="6"/>
        <v>3516</v>
      </c>
      <c r="AP32" s="72">
        <f t="shared" si="6"/>
        <v>3780</v>
      </c>
      <c r="AQ32" s="72">
        <f t="shared" si="6"/>
        <v>3973</v>
      </c>
      <c r="AR32" s="72">
        <f t="shared" si="6"/>
        <v>4081</v>
      </c>
      <c r="AS32" s="72">
        <f t="shared" si="6"/>
        <v>4358</v>
      </c>
      <c r="AT32" s="72">
        <f t="shared" si="6"/>
        <v>4617</v>
      </c>
      <c r="AU32" s="72">
        <f t="shared" si="6"/>
        <v>5279</v>
      </c>
      <c r="AV32" s="72">
        <f t="shared" si="6"/>
        <v>5639</v>
      </c>
      <c r="AW32" s="72">
        <f t="shared" si="6"/>
        <v>4753</v>
      </c>
      <c r="AX32" s="72">
        <f t="shared" si="6"/>
        <v>4348</v>
      </c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24"/>
      <c r="CI32" s="24"/>
      <c r="CJ32" s="24"/>
      <c r="CK32" s="24"/>
      <c r="CL32" s="24"/>
      <c r="CM32" s="24"/>
      <c r="CN32" s="24"/>
      <c r="CO32" s="24"/>
      <c r="CP32" s="24"/>
      <c r="CQ32" s="24"/>
    </row>
    <row r="33" spans="1:95" s="5" customFormat="1" ht="24.95" customHeight="1" x14ac:dyDescent="0.3">
      <c r="A33" s="54" t="s">
        <v>2</v>
      </c>
      <c r="B33" s="52">
        <v>723</v>
      </c>
      <c r="C33" s="52">
        <v>814</v>
      </c>
      <c r="D33" s="52">
        <v>1113</v>
      </c>
      <c r="E33" s="52">
        <v>1191</v>
      </c>
      <c r="F33" s="52">
        <v>1232</v>
      </c>
      <c r="G33" s="52">
        <v>1343</v>
      </c>
      <c r="H33" s="52">
        <v>1521</v>
      </c>
      <c r="I33" s="52">
        <v>1547</v>
      </c>
      <c r="J33" s="52">
        <v>1720</v>
      </c>
      <c r="K33" s="52">
        <v>1898</v>
      </c>
      <c r="L33" s="52">
        <v>1888</v>
      </c>
      <c r="M33" s="52">
        <v>1965</v>
      </c>
      <c r="N33" s="52">
        <v>2019</v>
      </c>
      <c r="O33" s="52">
        <v>2092</v>
      </c>
      <c r="P33" s="52">
        <v>2115</v>
      </c>
      <c r="Q33" s="52">
        <v>2065</v>
      </c>
      <c r="R33" s="52">
        <v>2014</v>
      </c>
      <c r="S33" s="52">
        <v>2000</v>
      </c>
      <c r="T33" s="52">
        <v>1964</v>
      </c>
      <c r="U33" s="52">
        <v>1903</v>
      </c>
      <c r="V33" s="52">
        <v>1862</v>
      </c>
      <c r="W33" s="52">
        <v>1922</v>
      </c>
      <c r="X33" s="52">
        <v>2111</v>
      </c>
      <c r="Y33" s="55">
        <v>2037</v>
      </c>
      <c r="Z33" s="55">
        <v>1991</v>
      </c>
      <c r="AA33" s="55">
        <v>1982</v>
      </c>
      <c r="AB33" s="55">
        <v>1986</v>
      </c>
      <c r="AC33" s="55">
        <v>1994</v>
      </c>
      <c r="AD33" s="55">
        <v>1972</v>
      </c>
      <c r="AE33" s="55">
        <v>1978</v>
      </c>
      <c r="AF33" s="55">
        <v>1903</v>
      </c>
      <c r="AG33" s="55">
        <v>1791</v>
      </c>
      <c r="AH33" s="55">
        <v>1791</v>
      </c>
      <c r="AI33" s="55">
        <v>1869</v>
      </c>
      <c r="AJ33" s="55">
        <v>1894</v>
      </c>
      <c r="AK33" s="55">
        <v>1809</v>
      </c>
      <c r="AL33" s="55">
        <v>1824</v>
      </c>
      <c r="AM33" s="55">
        <v>1842</v>
      </c>
      <c r="AN33" s="55">
        <v>1812</v>
      </c>
      <c r="AO33" s="55">
        <v>1842</v>
      </c>
      <c r="AP33" s="55">
        <v>1954</v>
      </c>
      <c r="AQ33" s="55">
        <v>1975</v>
      </c>
      <c r="AR33" s="55">
        <v>1926</v>
      </c>
      <c r="AS33" s="55">
        <v>2029</v>
      </c>
      <c r="AT33" s="55">
        <v>2176</v>
      </c>
      <c r="AU33" s="55">
        <v>2417</v>
      </c>
      <c r="AV33" s="55">
        <v>2512</v>
      </c>
      <c r="AW33" s="55">
        <v>2074</v>
      </c>
      <c r="AX33" s="55">
        <v>1902</v>
      </c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28"/>
      <c r="CI33" s="28"/>
      <c r="CJ33" s="28"/>
      <c r="CK33" s="28"/>
      <c r="CL33" s="28"/>
      <c r="CM33" s="28"/>
      <c r="CN33" s="28"/>
      <c r="CO33" s="28"/>
      <c r="CP33" s="28"/>
      <c r="CQ33" s="28"/>
    </row>
    <row r="34" spans="1:95" s="5" customFormat="1" ht="24.95" customHeight="1" x14ac:dyDescent="0.3">
      <c r="A34" s="54" t="s">
        <v>3</v>
      </c>
      <c r="B34" s="52">
        <v>648</v>
      </c>
      <c r="C34" s="52">
        <v>767</v>
      </c>
      <c r="D34" s="52">
        <v>809</v>
      </c>
      <c r="E34" s="52">
        <v>1033</v>
      </c>
      <c r="F34" s="52">
        <v>1134</v>
      </c>
      <c r="G34" s="52">
        <v>1302</v>
      </c>
      <c r="H34" s="52">
        <v>1310</v>
      </c>
      <c r="I34" s="52">
        <v>1346</v>
      </c>
      <c r="J34" s="52">
        <v>1428</v>
      </c>
      <c r="K34" s="52">
        <v>1522</v>
      </c>
      <c r="L34" s="52">
        <v>1553</v>
      </c>
      <c r="M34" s="52">
        <v>1489</v>
      </c>
      <c r="N34" s="52">
        <v>1573</v>
      </c>
      <c r="O34" s="52">
        <v>1521</v>
      </c>
      <c r="P34" s="52">
        <v>1498</v>
      </c>
      <c r="Q34" s="52">
        <v>1438</v>
      </c>
      <c r="R34" s="52">
        <v>1335</v>
      </c>
      <c r="S34" s="52">
        <v>1292</v>
      </c>
      <c r="T34" s="52">
        <v>1261</v>
      </c>
      <c r="U34" s="52">
        <v>1239</v>
      </c>
      <c r="V34" s="52">
        <v>1223</v>
      </c>
      <c r="W34" s="52">
        <v>1224</v>
      </c>
      <c r="X34" s="52">
        <v>1394</v>
      </c>
      <c r="Y34" s="55">
        <v>1404</v>
      </c>
      <c r="Z34" s="55">
        <v>1400</v>
      </c>
      <c r="AA34" s="55">
        <v>1456</v>
      </c>
      <c r="AB34" s="55">
        <v>1501</v>
      </c>
      <c r="AC34" s="55">
        <v>1488</v>
      </c>
      <c r="AD34" s="55">
        <v>1494</v>
      </c>
      <c r="AE34" s="55">
        <v>1527</v>
      </c>
      <c r="AF34" s="55">
        <v>1481</v>
      </c>
      <c r="AG34" s="55">
        <v>1493</v>
      </c>
      <c r="AH34" s="55">
        <v>1495</v>
      </c>
      <c r="AI34" s="55">
        <v>1468</v>
      </c>
      <c r="AJ34" s="55">
        <v>1350</v>
      </c>
      <c r="AK34" s="55">
        <v>1386</v>
      </c>
      <c r="AL34" s="55">
        <v>1428</v>
      </c>
      <c r="AM34" s="55">
        <v>1565</v>
      </c>
      <c r="AN34" s="55">
        <v>1600</v>
      </c>
      <c r="AO34" s="55">
        <v>1674</v>
      </c>
      <c r="AP34" s="55">
        <v>1826</v>
      </c>
      <c r="AQ34" s="55">
        <v>1998</v>
      </c>
      <c r="AR34" s="55">
        <v>2155</v>
      </c>
      <c r="AS34" s="55">
        <v>2329</v>
      </c>
      <c r="AT34" s="55">
        <v>2441</v>
      </c>
      <c r="AU34" s="55">
        <v>2862</v>
      </c>
      <c r="AV34" s="55">
        <v>3127</v>
      </c>
      <c r="AW34" s="55">
        <v>2679</v>
      </c>
      <c r="AX34" s="55">
        <v>2446</v>
      </c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28"/>
      <c r="CI34" s="28"/>
      <c r="CJ34" s="28"/>
      <c r="CK34" s="28"/>
      <c r="CL34" s="28"/>
      <c r="CM34" s="28"/>
      <c r="CN34" s="28"/>
      <c r="CO34" s="28"/>
      <c r="CP34" s="28"/>
      <c r="CQ34" s="28"/>
    </row>
    <row r="35" spans="1:95" s="10" customFormat="1" ht="24.95" customHeight="1" x14ac:dyDescent="0.3">
      <c r="A35" s="61" t="s">
        <v>4</v>
      </c>
      <c r="B35" s="67">
        <f>SUM(B36,B37)</f>
        <v>276</v>
      </c>
      <c r="C35" s="67">
        <f t="shared" ref="C35:AX35" si="7">SUM(C36,C37)</f>
        <v>323</v>
      </c>
      <c r="D35" s="67">
        <f t="shared" si="7"/>
        <v>347</v>
      </c>
      <c r="E35" s="67">
        <f t="shared" si="7"/>
        <v>502</v>
      </c>
      <c r="F35" s="67">
        <f t="shared" si="7"/>
        <v>571</v>
      </c>
      <c r="G35" s="67">
        <f t="shared" si="7"/>
        <v>663</v>
      </c>
      <c r="H35" s="67">
        <f t="shared" si="7"/>
        <v>712</v>
      </c>
      <c r="I35" s="67">
        <f t="shared" si="7"/>
        <v>729</v>
      </c>
      <c r="J35" s="67">
        <f t="shared" si="7"/>
        <v>771</v>
      </c>
      <c r="K35" s="67">
        <f t="shared" si="7"/>
        <v>858</v>
      </c>
      <c r="L35" s="67">
        <f t="shared" si="7"/>
        <v>877</v>
      </c>
      <c r="M35" s="67">
        <f t="shared" si="7"/>
        <v>930</v>
      </c>
      <c r="N35" s="67">
        <f t="shared" si="7"/>
        <v>953</v>
      </c>
      <c r="O35" s="67">
        <f t="shared" si="7"/>
        <v>953</v>
      </c>
      <c r="P35" s="67">
        <f t="shared" si="7"/>
        <v>938</v>
      </c>
      <c r="Q35" s="67">
        <f t="shared" si="7"/>
        <v>927</v>
      </c>
      <c r="R35" s="67">
        <f t="shared" si="7"/>
        <v>953</v>
      </c>
      <c r="S35" s="67">
        <f t="shared" si="7"/>
        <v>1004</v>
      </c>
      <c r="T35" s="67">
        <f t="shared" si="7"/>
        <v>978</v>
      </c>
      <c r="U35" s="67">
        <f t="shared" si="7"/>
        <v>967</v>
      </c>
      <c r="V35" s="67">
        <f t="shared" si="7"/>
        <v>1032</v>
      </c>
      <c r="W35" s="67">
        <f t="shared" si="7"/>
        <v>1038</v>
      </c>
      <c r="X35" s="67">
        <f t="shared" si="7"/>
        <v>1165</v>
      </c>
      <c r="Y35" s="72">
        <f t="shared" si="7"/>
        <v>1151</v>
      </c>
      <c r="Z35" s="72">
        <f t="shared" si="7"/>
        <v>1173</v>
      </c>
      <c r="AA35" s="72">
        <f t="shared" si="7"/>
        <v>1137</v>
      </c>
      <c r="AB35" s="72">
        <f t="shared" si="7"/>
        <v>1147</v>
      </c>
      <c r="AC35" s="72">
        <f t="shared" si="7"/>
        <v>1082</v>
      </c>
      <c r="AD35" s="72">
        <f t="shared" si="7"/>
        <v>1082</v>
      </c>
      <c r="AE35" s="72">
        <f t="shared" si="7"/>
        <v>1058</v>
      </c>
      <c r="AF35" s="72">
        <f t="shared" si="7"/>
        <v>978</v>
      </c>
      <c r="AG35" s="72">
        <f t="shared" si="7"/>
        <v>986</v>
      </c>
      <c r="AH35" s="72">
        <f t="shared" si="7"/>
        <v>976</v>
      </c>
      <c r="AI35" s="72">
        <f t="shared" si="7"/>
        <v>996</v>
      </c>
      <c r="AJ35" s="72">
        <f t="shared" si="7"/>
        <v>1031</v>
      </c>
      <c r="AK35" s="72">
        <f t="shared" si="7"/>
        <v>1052</v>
      </c>
      <c r="AL35" s="72">
        <f t="shared" si="7"/>
        <v>1065</v>
      </c>
      <c r="AM35" s="72">
        <f t="shared" si="7"/>
        <v>1083</v>
      </c>
      <c r="AN35" s="72">
        <f t="shared" si="7"/>
        <v>1089</v>
      </c>
      <c r="AO35" s="72">
        <f t="shared" si="7"/>
        <v>1133</v>
      </c>
      <c r="AP35" s="72">
        <f t="shared" si="7"/>
        <v>1218</v>
      </c>
      <c r="AQ35" s="72">
        <f t="shared" si="7"/>
        <v>1323</v>
      </c>
      <c r="AR35" s="72">
        <f t="shared" si="7"/>
        <v>1404</v>
      </c>
      <c r="AS35" s="72">
        <f t="shared" si="7"/>
        <v>1593</v>
      </c>
      <c r="AT35" s="72">
        <f t="shared" si="7"/>
        <v>1845</v>
      </c>
      <c r="AU35" s="72">
        <f t="shared" si="7"/>
        <v>2179</v>
      </c>
      <c r="AV35" s="72">
        <f t="shared" si="7"/>
        <v>2330</v>
      </c>
      <c r="AW35" s="72">
        <f t="shared" si="7"/>
        <v>2972</v>
      </c>
      <c r="AX35" s="72">
        <f t="shared" si="7"/>
        <v>3233</v>
      </c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24"/>
      <c r="CI35" s="24"/>
      <c r="CJ35" s="24"/>
      <c r="CK35" s="24"/>
      <c r="CL35" s="24"/>
      <c r="CM35" s="24"/>
      <c r="CN35" s="24"/>
      <c r="CO35" s="24"/>
      <c r="CP35" s="24"/>
      <c r="CQ35" s="24"/>
    </row>
    <row r="36" spans="1:95" s="5" customFormat="1" ht="24.95" customHeight="1" x14ac:dyDescent="0.3">
      <c r="A36" s="54" t="s">
        <v>2</v>
      </c>
      <c r="B36" s="52">
        <v>71</v>
      </c>
      <c r="C36" s="52">
        <v>81</v>
      </c>
      <c r="D36" s="52">
        <v>106</v>
      </c>
      <c r="E36" s="52">
        <v>117</v>
      </c>
      <c r="F36" s="52">
        <v>126</v>
      </c>
      <c r="G36" s="52">
        <v>147</v>
      </c>
      <c r="H36" s="52">
        <v>153</v>
      </c>
      <c r="I36" s="52">
        <v>170</v>
      </c>
      <c r="J36" s="52">
        <v>157</v>
      </c>
      <c r="K36" s="52">
        <v>178</v>
      </c>
      <c r="L36" s="52">
        <v>181</v>
      </c>
      <c r="M36" s="52">
        <v>200</v>
      </c>
      <c r="N36" s="52">
        <v>205</v>
      </c>
      <c r="O36" s="52">
        <v>219</v>
      </c>
      <c r="P36" s="52">
        <v>230</v>
      </c>
      <c r="Q36" s="52">
        <v>235</v>
      </c>
      <c r="R36" s="52">
        <v>258</v>
      </c>
      <c r="S36" s="52">
        <v>280</v>
      </c>
      <c r="T36" s="52">
        <v>268</v>
      </c>
      <c r="U36" s="52">
        <v>242</v>
      </c>
      <c r="V36" s="52">
        <v>251</v>
      </c>
      <c r="W36" s="52">
        <v>252</v>
      </c>
      <c r="X36" s="52">
        <v>293</v>
      </c>
      <c r="Y36" s="55">
        <v>276</v>
      </c>
      <c r="Z36" s="55">
        <v>279</v>
      </c>
      <c r="AA36" s="55">
        <v>294</v>
      </c>
      <c r="AB36" s="55">
        <v>293</v>
      </c>
      <c r="AC36" s="55">
        <v>296</v>
      </c>
      <c r="AD36" s="55">
        <v>317</v>
      </c>
      <c r="AE36" s="55">
        <v>323</v>
      </c>
      <c r="AF36" s="55">
        <v>308</v>
      </c>
      <c r="AG36" s="55">
        <v>325</v>
      </c>
      <c r="AH36" s="55">
        <v>314</v>
      </c>
      <c r="AI36" s="55">
        <v>325</v>
      </c>
      <c r="AJ36" s="55">
        <v>297</v>
      </c>
      <c r="AK36" s="55">
        <v>312</v>
      </c>
      <c r="AL36" s="55">
        <v>276</v>
      </c>
      <c r="AM36" s="55">
        <v>277</v>
      </c>
      <c r="AN36" s="55">
        <v>270</v>
      </c>
      <c r="AO36" s="55">
        <v>258</v>
      </c>
      <c r="AP36" s="55">
        <v>290</v>
      </c>
      <c r="AQ36" s="55">
        <v>294</v>
      </c>
      <c r="AR36" s="55">
        <v>315</v>
      </c>
      <c r="AS36" s="55">
        <v>333</v>
      </c>
      <c r="AT36" s="55">
        <v>368</v>
      </c>
      <c r="AU36" s="55">
        <v>402</v>
      </c>
      <c r="AV36" s="55">
        <v>442</v>
      </c>
      <c r="AW36" s="55">
        <v>688</v>
      </c>
      <c r="AX36" s="55">
        <v>840</v>
      </c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28"/>
      <c r="CI36" s="28"/>
      <c r="CJ36" s="28"/>
      <c r="CK36" s="28"/>
      <c r="CL36" s="28"/>
      <c r="CM36" s="28"/>
      <c r="CN36" s="28"/>
      <c r="CO36" s="28"/>
      <c r="CP36" s="28"/>
      <c r="CQ36" s="28"/>
    </row>
    <row r="37" spans="1:95" s="5" customFormat="1" ht="24.95" customHeight="1" x14ac:dyDescent="0.3">
      <c r="A37" s="54" t="s">
        <v>3</v>
      </c>
      <c r="B37" s="52">
        <v>205</v>
      </c>
      <c r="C37" s="52">
        <v>242</v>
      </c>
      <c r="D37" s="52">
        <v>241</v>
      </c>
      <c r="E37" s="52">
        <v>385</v>
      </c>
      <c r="F37" s="52">
        <v>445</v>
      </c>
      <c r="G37" s="52">
        <v>516</v>
      </c>
      <c r="H37" s="52">
        <v>559</v>
      </c>
      <c r="I37" s="52">
        <v>559</v>
      </c>
      <c r="J37" s="52">
        <v>614</v>
      </c>
      <c r="K37" s="52">
        <v>680</v>
      </c>
      <c r="L37" s="52">
        <v>696</v>
      </c>
      <c r="M37" s="52">
        <v>730</v>
      </c>
      <c r="N37" s="52">
        <v>748</v>
      </c>
      <c r="O37" s="52">
        <v>734</v>
      </c>
      <c r="P37" s="52">
        <v>708</v>
      </c>
      <c r="Q37" s="52">
        <v>692</v>
      </c>
      <c r="R37" s="52">
        <v>695</v>
      </c>
      <c r="S37" s="52">
        <v>724</v>
      </c>
      <c r="T37" s="52">
        <v>710</v>
      </c>
      <c r="U37" s="52">
        <v>725</v>
      </c>
      <c r="V37" s="52">
        <v>781</v>
      </c>
      <c r="W37" s="52">
        <v>786</v>
      </c>
      <c r="X37" s="52">
        <v>872</v>
      </c>
      <c r="Y37" s="55">
        <v>875</v>
      </c>
      <c r="Z37" s="55">
        <v>894</v>
      </c>
      <c r="AA37" s="55">
        <v>843</v>
      </c>
      <c r="AB37" s="55">
        <v>854</v>
      </c>
      <c r="AC37" s="55">
        <v>786</v>
      </c>
      <c r="AD37" s="55">
        <v>765</v>
      </c>
      <c r="AE37" s="55">
        <v>735</v>
      </c>
      <c r="AF37" s="55">
        <v>670</v>
      </c>
      <c r="AG37" s="55">
        <v>661</v>
      </c>
      <c r="AH37" s="55">
        <v>662</v>
      </c>
      <c r="AI37" s="55">
        <v>671</v>
      </c>
      <c r="AJ37" s="55">
        <v>734</v>
      </c>
      <c r="AK37" s="55">
        <v>740</v>
      </c>
      <c r="AL37" s="55">
        <v>789</v>
      </c>
      <c r="AM37" s="55">
        <v>806</v>
      </c>
      <c r="AN37" s="55">
        <v>819</v>
      </c>
      <c r="AO37" s="55">
        <v>875</v>
      </c>
      <c r="AP37" s="55">
        <v>928</v>
      </c>
      <c r="AQ37" s="55">
        <v>1029</v>
      </c>
      <c r="AR37" s="55">
        <v>1089</v>
      </c>
      <c r="AS37" s="55">
        <v>1260</v>
      </c>
      <c r="AT37" s="55">
        <v>1477</v>
      </c>
      <c r="AU37" s="55">
        <v>1777</v>
      </c>
      <c r="AV37" s="55">
        <v>1888</v>
      </c>
      <c r="AW37" s="55">
        <v>2284</v>
      </c>
      <c r="AX37" s="55">
        <v>2393</v>
      </c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28"/>
      <c r="CI37" s="28"/>
      <c r="CJ37" s="28"/>
      <c r="CK37" s="28"/>
      <c r="CL37" s="28"/>
      <c r="CM37" s="28"/>
      <c r="CN37" s="28"/>
      <c r="CO37" s="28"/>
      <c r="CP37" s="28"/>
      <c r="CQ37" s="28"/>
    </row>
    <row r="38" spans="1:95" s="10" customFormat="1" ht="24.95" customHeight="1" x14ac:dyDescent="0.3">
      <c r="A38" s="61" t="s">
        <v>5</v>
      </c>
      <c r="B38" s="67">
        <f>SUM(B39,B40)</f>
        <v>49</v>
      </c>
      <c r="C38" s="67">
        <f t="shared" ref="C38:AX38" si="8">SUM(C39,C40)</f>
        <v>40</v>
      </c>
      <c r="D38" s="67">
        <f t="shared" si="8"/>
        <v>57</v>
      </c>
      <c r="E38" s="67">
        <f t="shared" si="8"/>
        <v>48</v>
      </c>
      <c r="F38" s="67">
        <f t="shared" si="8"/>
        <v>51</v>
      </c>
      <c r="G38" s="67">
        <f t="shared" si="8"/>
        <v>49</v>
      </c>
      <c r="H38" s="67">
        <f t="shared" si="8"/>
        <v>39</v>
      </c>
      <c r="I38" s="67">
        <f t="shared" si="8"/>
        <v>38</v>
      </c>
      <c r="J38" s="67">
        <f t="shared" si="8"/>
        <v>35</v>
      </c>
      <c r="K38" s="67">
        <f t="shared" si="8"/>
        <v>38</v>
      </c>
      <c r="L38" s="67">
        <f t="shared" si="8"/>
        <v>45</v>
      </c>
      <c r="M38" s="67">
        <f t="shared" si="8"/>
        <v>42</v>
      </c>
      <c r="N38" s="67">
        <f t="shared" si="8"/>
        <v>49</v>
      </c>
      <c r="O38" s="67">
        <f t="shared" si="8"/>
        <v>56</v>
      </c>
      <c r="P38" s="67">
        <f t="shared" si="8"/>
        <v>63</v>
      </c>
      <c r="Q38" s="67">
        <f t="shared" si="8"/>
        <v>62</v>
      </c>
      <c r="R38" s="67">
        <f t="shared" si="8"/>
        <v>70</v>
      </c>
      <c r="S38" s="67">
        <f t="shared" si="8"/>
        <v>81</v>
      </c>
      <c r="T38" s="67">
        <f t="shared" si="8"/>
        <v>139</v>
      </c>
      <c r="U38" s="67">
        <f t="shared" si="8"/>
        <v>106</v>
      </c>
      <c r="V38" s="67">
        <f t="shared" si="8"/>
        <v>133</v>
      </c>
      <c r="W38" s="67">
        <f t="shared" si="8"/>
        <v>110</v>
      </c>
      <c r="X38" s="67">
        <f t="shared" si="8"/>
        <v>60</v>
      </c>
      <c r="Y38" s="72">
        <f t="shared" si="8"/>
        <v>42</v>
      </c>
      <c r="Z38" s="72">
        <f t="shared" si="8"/>
        <v>26</v>
      </c>
      <c r="AA38" s="72">
        <f t="shared" si="8"/>
        <v>9</v>
      </c>
      <c r="AB38" s="72">
        <f t="shared" si="8"/>
        <v>5</v>
      </c>
      <c r="AC38" s="72">
        <f t="shared" si="8"/>
        <v>3</v>
      </c>
      <c r="AD38" s="72">
        <f t="shared" si="8"/>
        <v>1</v>
      </c>
      <c r="AE38" s="72">
        <f t="shared" si="8"/>
        <v>0</v>
      </c>
      <c r="AF38" s="72">
        <f t="shared" si="8"/>
        <v>0</v>
      </c>
      <c r="AG38" s="72">
        <f t="shared" si="8"/>
        <v>0</v>
      </c>
      <c r="AH38" s="72">
        <f t="shared" si="8"/>
        <v>0</v>
      </c>
      <c r="AI38" s="72">
        <f t="shared" si="8"/>
        <v>0</v>
      </c>
      <c r="AJ38" s="72">
        <f t="shared" si="8"/>
        <v>0</v>
      </c>
      <c r="AK38" s="72">
        <f t="shared" si="8"/>
        <v>0</v>
      </c>
      <c r="AL38" s="72">
        <f t="shared" si="8"/>
        <v>0</v>
      </c>
      <c r="AM38" s="72">
        <f t="shared" si="8"/>
        <v>0</v>
      </c>
      <c r="AN38" s="72">
        <f t="shared" si="8"/>
        <v>0</v>
      </c>
      <c r="AO38" s="72">
        <f t="shared" si="8"/>
        <v>0</v>
      </c>
      <c r="AP38" s="72">
        <f t="shared" si="8"/>
        <v>0</v>
      </c>
      <c r="AQ38" s="72">
        <f t="shared" si="8"/>
        <v>0</v>
      </c>
      <c r="AR38" s="72">
        <f t="shared" si="8"/>
        <v>0</v>
      </c>
      <c r="AS38" s="72">
        <f t="shared" si="8"/>
        <v>0</v>
      </c>
      <c r="AT38" s="72">
        <f t="shared" si="8"/>
        <v>0</v>
      </c>
      <c r="AU38" s="72">
        <f t="shared" si="8"/>
        <v>0</v>
      </c>
      <c r="AV38" s="72">
        <f t="shared" si="8"/>
        <v>0</v>
      </c>
      <c r="AW38" s="72">
        <f t="shared" si="8"/>
        <v>0</v>
      </c>
      <c r="AX38" s="72">
        <f t="shared" si="8"/>
        <v>0</v>
      </c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24"/>
      <c r="CI38" s="24"/>
      <c r="CJ38" s="24"/>
      <c r="CK38" s="24"/>
      <c r="CL38" s="24"/>
      <c r="CM38" s="24"/>
      <c r="CN38" s="24"/>
      <c r="CO38" s="24"/>
      <c r="CP38" s="24"/>
      <c r="CQ38" s="24"/>
    </row>
    <row r="39" spans="1:95" s="5" customFormat="1" ht="24.95" customHeight="1" x14ac:dyDescent="0.3">
      <c r="A39" s="54" t="s">
        <v>2</v>
      </c>
      <c r="B39" s="52">
        <v>48</v>
      </c>
      <c r="C39" s="52">
        <v>39</v>
      </c>
      <c r="D39" s="52">
        <v>56</v>
      </c>
      <c r="E39" s="52">
        <f>21+26</f>
        <v>47</v>
      </c>
      <c r="F39" s="52">
        <f>21+29</f>
        <v>50</v>
      </c>
      <c r="G39" s="52">
        <f>21+27</f>
        <v>48</v>
      </c>
      <c r="H39" s="52">
        <f>13+25</f>
        <v>38</v>
      </c>
      <c r="I39" s="52">
        <v>38</v>
      </c>
      <c r="J39" s="52">
        <f>8+27</f>
        <v>35</v>
      </c>
      <c r="K39" s="52">
        <v>38</v>
      </c>
      <c r="L39" s="52">
        <v>45</v>
      </c>
      <c r="M39" s="52">
        <f>31+11</f>
        <v>42</v>
      </c>
      <c r="N39" s="52">
        <v>48</v>
      </c>
      <c r="O39" s="52">
        <f>47+7</f>
        <v>54</v>
      </c>
      <c r="P39" s="52">
        <v>63</v>
      </c>
      <c r="Q39" s="52">
        <f>54+7</f>
        <v>61</v>
      </c>
      <c r="R39" s="52">
        <f>52+18</f>
        <v>70</v>
      </c>
      <c r="S39" s="52">
        <f>50+30</f>
        <v>80</v>
      </c>
      <c r="T39" s="52">
        <f>55+82</f>
        <v>137</v>
      </c>
      <c r="U39" s="52">
        <f>50+56</f>
        <v>106</v>
      </c>
      <c r="V39" s="52">
        <f>29+104</f>
        <v>133</v>
      </c>
      <c r="W39" s="52">
        <f>25+84</f>
        <v>109</v>
      </c>
      <c r="X39" s="52">
        <v>60</v>
      </c>
      <c r="Y39" s="55">
        <f>9+33</f>
        <v>42</v>
      </c>
      <c r="Z39" s="55">
        <v>26</v>
      </c>
      <c r="AA39" s="55">
        <v>9</v>
      </c>
      <c r="AB39" s="55">
        <v>5</v>
      </c>
      <c r="AC39" s="55">
        <v>3</v>
      </c>
      <c r="AD39" s="55">
        <v>1</v>
      </c>
      <c r="AE39" s="55">
        <v>0</v>
      </c>
      <c r="AF39" s="55">
        <v>0</v>
      </c>
      <c r="AG39" s="55">
        <v>0</v>
      </c>
      <c r="AH39" s="55">
        <v>0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0</v>
      </c>
      <c r="AQ39" s="55">
        <v>0</v>
      </c>
      <c r="AR39" s="55">
        <v>0</v>
      </c>
      <c r="AS39" s="55">
        <v>0</v>
      </c>
      <c r="AT39" s="55">
        <v>0</v>
      </c>
      <c r="AU39" s="55">
        <v>0</v>
      </c>
      <c r="AV39" s="55">
        <v>0</v>
      </c>
      <c r="AW39" s="55">
        <v>0</v>
      </c>
      <c r="AX39" s="55">
        <v>0</v>
      </c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28"/>
      <c r="CI39" s="28"/>
      <c r="CJ39" s="28"/>
      <c r="CK39" s="28"/>
      <c r="CL39" s="28"/>
      <c r="CM39" s="28"/>
      <c r="CN39" s="28"/>
      <c r="CO39" s="28"/>
      <c r="CP39" s="28"/>
      <c r="CQ39" s="28"/>
    </row>
    <row r="40" spans="1:95" s="5" customFormat="1" ht="24.95" customHeight="1" thickBot="1" x14ac:dyDescent="0.35">
      <c r="A40" s="54" t="s">
        <v>3</v>
      </c>
      <c r="B40" s="57">
        <v>1</v>
      </c>
      <c r="C40" s="57">
        <v>1</v>
      </c>
      <c r="D40" s="57">
        <v>1</v>
      </c>
      <c r="E40" s="57">
        <f>0+1</f>
        <v>1</v>
      </c>
      <c r="F40" s="57">
        <f>0+1</f>
        <v>1</v>
      </c>
      <c r="G40" s="57">
        <f>0+1</f>
        <v>1</v>
      </c>
      <c r="H40" s="57">
        <f>1+0</f>
        <v>1</v>
      </c>
      <c r="I40" s="57">
        <v>0</v>
      </c>
      <c r="J40" s="57">
        <f>0+0</f>
        <v>0</v>
      </c>
      <c r="K40" s="57">
        <v>0</v>
      </c>
      <c r="L40" s="57">
        <v>0</v>
      </c>
      <c r="M40" s="57">
        <v>0</v>
      </c>
      <c r="N40" s="57">
        <v>1</v>
      </c>
      <c r="O40" s="57">
        <f>2+0</f>
        <v>2</v>
      </c>
      <c r="P40" s="57">
        <v>0</v>
      </c>
      <c r="Q40" s="57">
        <f>1+0</f>
        <v>1</v>
      </c>
      <c r="R40" s="57">
        <v>0</v>
      </c>
      <c r="S40" s="57">
        <f>1</f>
        <v>1</v>
      </c>
      <c r="T40" s="57">
        <f>2+0</f>
        <v>2</v>
      </c>
      <c r="U40" s="57">
        <v>0</v>
      </c>
      <c r="V40" s="57">
        <v>0</v>
      </c>
      <c r="W40" s="57">
        <v>1</v>
      </c>
      <c r="X40" s="57">
        <v>0</v>
      </c>
      <c r="Y40" s="58">
        <v>0</v>
      </c>
      <c r="Z40" s="58">
        <v>0</v>
      </c>
      <c r="AA40" s="58">
        <v>0</v>
      </c>
      <c r="AB40" s="58">
        <v>0</v>
      </c>
      <c r="AC40" s="58">
        <v>0</v>
      </c>
      <c r="AD40" s="58">
        <v>0</v>
      </c>
      <c r="AE40" s="58">
        <v>0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0</v>
      </c>
      <c r="AM40" s="58">
        <v>0</v>
      </c>
      <c r="AN40" s="58">
        <v>0</v>
      </c>
      <c r="AO40" s="58">
        <v>0</v>
      </c>
      <c r="AP40" s="58">
        <v>0</v>
      </c>
      <c r="AQ40" s="58">
        <v>0</v>
      </c>
      <c r="AR40" s="58">
        <v>0</v>
      </c>
      <c r="AS40" s="58">
        <v>0</v>
      </c>
      <c r="AT40" s="58">
        <v>0</v>
      </c>
      <c r="AU40" s="58">
        <v>0</v>
      </c>
      <c r="AV40" s="58">
        <v>0</v>
      </c>
      <c r="AW40" s="58">
        <v>0</v>
      </c>
      <c r="AX40" s="58">
        <v>0</v>
      </c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28"/>
      <c r="CI40" s="28"/>
      <c r="CJ40" s="28"/>
      <c r="CK40" s="28"/>
      <c r="CL40" s="28"/>
      <c r="CM40" s="28"/>
      <c r="CN40" s="28"/>
      <c r="CO40" s="28"/>
      <c r="CP40" s="28"/>
      <c r="CQ40" s="28"/>
    </row>
    <row r="41" spans="1:95" s="5" customFormat="1" ht="24.95" customHeight="1" x14ac:dyDescent="0.3">
      <c r="A41" s="49" t="s">
        <v>58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28"/>
      <c r="CI41" s="28"/>
      <c r="CJ41" s="28"/>
      <c r="CK41" s="28"/>
      <c r="CL41" s="28"/>
      <c r="CM41" s="28"/>
      <c r="CN41" s="28"/>
      <c r="CO41" s="28"/>
      <c r="CP41" s="28"/>
      <c r="CQ41" s="28"/>
    </row>
    <row r="42" spans="1:95" s="10" customFormat="1" ht="24.95" customHeight="1" x14ac:dyDescent="0.2">
      <c r="A42" s="51" t="s">
        <v>1</v>
      </c>
      <c r="B42" s="67">
        <f>SUM(B43,B44)</f>
        <v>2449</v>
      </c>
      <c r="C42" s="67">
        <f t="shared" ref="C42:AX42" si="9">SUM(C43,C44)</f>
        <v>2566</v>
      </c>
      <c r="D42" s="67">
        <f t="shared" si="9"/>
        <v>2802</v>
      </c>
      <c r="E42" s="67">
        <f t="shared" si="9"/>
        <v>3008</v>
      </c>
      <c r="F42" s="67">
        <f t="shared" si="9"/>
        <v>3046</v>
      </c>
      <c r="G42" s="67">
        <f t="shared" si="9"/>
        <v>3308</v>
      </c>
      <c r="H42" s="67">
        <f t="shared" si="9"/>
        <v>3666</v>
      </c>
      <c r="I42" s="67">
        <f t="shared" si="9"/>
        <v>4173</v>
      </c>
      <c r="J42" s="67">
        <f t="shared" si="9"/>
        <v>4659</v>
      </c>
      <c r="K42" s="67">
        <f t="shared" si="9"/>
        <v>5149</v>
      </c>
      <c r="L42" s="67">
        <f t="shared" si="9"/>
        <v>5449</v>
      </c>
      <c r="M42" s="67">
        <f t="shared" si="9"/>
        <v>5483</v>
      </c>
      <c r="N42" s="67">
        <f t="shared" si="9"/>
        <v>5648</v>
      </c>
      <c r="O42" s="67">
        <f t="shared" si="9"/>
        <v>5788</v>
      </c>
      <c r="P42" s="67">
        <f t="shared" si="9"/>
        <v>5916</v>
      </c>
      <c r="Q42" s="67">
        <f t="shared" si="9"/>
        <v>6127</v>
      </c>
      <c r="R42" s="67">
        <f t="shared" si="9"/>
        <v>6268</v>
      </c>
      <c r="S42" s="67">
        <f t="shared" si="9"/>
        <v>6163</v>
      </c>
      <c r="T42" s="67">
        <f t="shared" si="9"/>
        <v>6102</v>
      </c>
      <c r="U42" s="67">
        <f t="shared" si="9"/>
        <v>6186</v>
      </c>
      <c r="V42" s="67">
        <f t="shared" si="9"/>
        <v>6250</v>
      </c>
      <c r="W42" s="67">
        <f t="shared" si="9"/>
        <v>6180</v>
      </c>
      <c r="X42" s="67">
        <f t="shared" si="9"/>
        <v>6479</v>
      </c>
      <c r="Y42" s="72">
        <f t="shared" si="9"/>
        <v>6470</v>
      </c>
      <c r="Z42" s="72">
        <f t="shared" si="9"/>
        <v>6698</v>
      </c>
      <c r="AA42" s="72">
        <f t="shared" si="9"/>
        <v>6721</v>
      </c>
      <c r="AB42" s="72">
        <f t="shared" si="9"/>
        <v>6955</v>
      </c>
      <c r="AC42" s="72">
        <f t="shared" si="9"/>
        <v>6904</v>
      </c>
      <c r="AD42" s="72">
        <f t="shared" si="9"/>
        <v>6892</v>
      </c>
      <c r="AE42" s="72">
        <f t="shared" si="9"/>
        <v>6856</v>
      </c>
      <c r="AF42" s="72">
        <f t="shared" si="9"/>
        <v>6868</v>
      </c>
      <c r="AG42" s="72">
        <f t="shared" si="9"/>
        <v>6796</v>
      </c>
      <c r="AH42" s="72">
        <f t="shared" si="9"/>
        <v>6920</v>
      </c>
      <c r="AI42" s="72">
        <f t="shared" si="9"/>
        <v>6983</v>
      </c>
      <c r="AJ42" s="72">
        <f t="shared" si="9"/>
        <v>6943</v>
      </c>
      <c r="AK42" s="72">
        <f t="shared" si="9"/>
        <v>6597</v>
      </c>
      <c r="AL42" s="72">
        <f t="shared" si="9"/>
        <v>6392</v>
      </c>
      <c r="AM42" s="72">
        <f t="shared" si="9"/>
        <v>6529</v>
      </c>
      <c r="AN42" s="72">
        <f t="shared" si="9"/>
        <v>6712</v>
      </c>
      <c r="AO42" s="72">
        <f t="shared" si="9"/>
        <v>7095</v>
      </c>
      <c r="AP42" s="72">
        <f t="shared" si="9"/>
        <v>7554</v>
      </c>
      <c r="AQ42" s="72">
        <f t="shared" si="9"/>
        <v>7992</v>
      </c>
      <c r="AR42" s="72">
        <f t="shared" si="9"/>
        <v>8472</v>
      </c>
      <c r="AS42" s="72">
        <f t="shared" si="9"/>
        <v>9008</v>
      </c>
      <c r="AT42" s="72">
        <f t="shared" si="9"/>
        <v>9563</v>
      </c>
      <c r="AU42" s="72">
        <f t="shared" si="9"/>
        <v>10610</v>
      </c>
      <c r="AV42" s="72">
        <f t="shared" si="9"/>
        <v>11363</v>
      </c>
      <c r="AW42" s="72">
        <f t="shared" si="9"/>
        <v>10134</v>
      </c>
      <c r="AX42" s="72">
        <f t="shared" si="9"/>
        <v>9917</v>
      </c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24"/>
      <c r="CI42" s="24"/>
      <c r="CJ42" s="24"/>
      <c r="CK42" s="24"/>
      <c r="CL42" s="24"/>
      <c r="CM42" s="24"/>
      <c r="CN42" s="24"/>
      <c r="CO42" s="24"/>
      <c r="CP42" s="24"/>
      <c r="CQ42" s="24"/>
    </row>
    <row r="43" spans="1:95" s="5" customFormat="1" ht="24.95" customHeight="1" x14ac:dyDescent="0.3">
      <c r="A43" s="54" t="s">
        <v>2</v>
      </c>
      <c r="B43" s="52">
        <v>1442</v>
      </c>
      <c r="C43" s="52">
        <v>1480</v>
      </c>
      <c r="D43" s="52">
        <v>1609</v>
      </c>
      <c r="E43" s="52">
        <v>1600</v>
      </c>
      <c r="F43" s="52">
        <v>1629</v>
      </c>
      <c r="G43" s="52">
        <v>1714</v>
      </c>
      <c r="H43" s="52">
        <v>1953</v>
      </c>
      <c r="I43" s="52">
        <v>2236</v>
      </c>
      <c r="J43" s="52">
        <v>2577</v>
      </c>
      <c r="K43" s="52">
        <v>2827</v>
      </c>
      <c r="L43" s="52">
        <v>3023</v>
      </c>
      <c r="M43" s="52">
        <v>3073</v>
      </c>
      <c r="N43" s="52">
        <v>3184</v>
      </c>
      <c r="O43" s="52">
        <v>3281</v>
      </c>
      <c r="P43" s="52">
        <v>3411</v>
      </c>
      <c r="Q43" s="52">
        <v>3519</v>
      </c>
      <c r="R43" s="52">
        <v>3629</v>
      </c>
      <c r="S43" s="52">
        <v>3605</v>
      </c>
      <c r="T43" s="52">
        <v>3572</v>
      </c>
      <c r="U43" s="52">
        <v>3602</v>
      </c>
      <c r="V43" s="52">
        <v>3602</v>
      </c>
      <c r="W43" s="52">
        <v>3562</v>
      </c>
      <c r="X43" s="52">
        <v>3712</v>
      </c>
      <c r="Y43" s="55">
        <v>3677</v>
      </c>
      <c r="Z43" s="55">
        <v>3828</v>
      </c>
      <c r="AA43" s="55">
        <v>3898</v>
      </c>
      <c r="AB43" s="55">
        <v>3990</v>
      </c>
      <c r="AC43" s="55">
        <v>3904</v>
      </c>
      <c r="AD43" s="55">
        <v>3863</v>
      </c>
      <c r="AE43" s="55">
        <v>3774</v>
      </c>
      <c r="AF43" s="55">
        <v>3750</v>
      </c>
      <c r="AG43" s="55">
        <v>3596</v>
      </c>
      <c r="AH43" s="55">
        <v>3740</v>
      </c>
      <c r="AI43" s="55">
        <v>3761</v>
      </c>
      <c r="AJ43" s="55">
        <v>3725</v>
      </c>
      <c r="AK43" s="55">
        <v>3476</v>
      </c>
      <c r="AL43" s="55">
        <v>3305</v>
      </c>
      <c r="AM43" s="55">
        <v>3300</v>
      </c>
      <c r="AN43" s="55">
        <v>3330</v>
      </c>
      <c r="AO43" s="55">
        <v>3498</v>
      </c>
      <c r="AP43" s="55">
        <v>3687</v>
      </c>
      <c r="AQ43" s="55">
        <v>3932</v>
      </c>
      <c r="AR43" s="55">
        <v>4151</v>
      </c>
      <c r="AS43" s="55">
        <v>4382</v>
      </c>
      <c r="AT43" s="55">
        <v>4604</v>
      </c>
      <c r="AU43" s="55">
        <v>5112</v>
      </c>
      <c r="AV43" s="55">
        <v>5292</v>
      </c>
      <c r="AW43" s="55">
        <v>4597</v>
      </c>
      <c r="AX43" s="55">
        <v>4452</v>
      </c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28"/>
      <c r="CI43" s="28"/>
      <c r="CJ43" s="28"/>
      <c r="CK43" s="28"/>
      <c r="CL43" s="28"/>
      <c r="CM43" s="28"/>
      <c r="CN43" s="28"/>
      <c r="CO43" s="28"/>
      <c r="CP43" s="28"/>
      <c r="CQ43" s="28"/>
    </row>
    <row r="44" spans="1:95" s="5" customFormat="1" ht="24.95" customHeight="1" x14ac:dyDescent="0.3">
      <c r="A44" s="54" t="s">
        <v>3</v>
      </c>
      <c r="B44" s="52">
        <v>1007</v>
      </c>
      <c r="C44" s="52">
        <v>1086</v>
      </c>
      <c r="D44" s="52">
        <v>1193</v>
      </c>
      <c r="E44" s="52">
        <v>1408</v>
      </c>
      <c r="F44" s="52">
        <v>1417</v>
      </c>
      <c r="G44" s="52">
        <v>1594</v>
      </c>
      <c r="H44" s="52">
        <v>1713</v>
      </c>
      <c r="I44" s="52">
        <v>1937</v>
      </c>
      <c r="J44" s="52">
        <v>2082</v>
      </c>
      <c r="K44" s="52">
        <v>2322</v>
      </c>
      <c r="L44" s="52">
        <v>2426</v>
      </c>
      <c r="M44" s="52">
        <v>2410</v>
      </c>
      <c r="N44" s="52">
        <v>2464</v>
      </c>
      <c r="O44" s="52">
        <v>2507</v>
      </c>
      <c r="P44" s="52">
        <v>2505</v>
      </c>
      <c r="Q44" s="52">
        <v>2608</v>
      </c>
      <c r="R44" s="52">
        <v>2639</v>
      </c>
      <c r="S44" s="52">
        <v>2558</v>
      </c>
      <c r="T44" s="52">
        <v>2530</v>
      </c>
      <c r="U44" s="52">
        <v>2584</v>
      </c>
      <c r="V44" s="52">
        <v>2648</v>
      </c>
      <c r="W44" s="52">
        <v>2618</v>
      </c>
      <c r="X44" s="52">
        <v>2767</v>
      </c>
      <c r="Y44" s="55">
        <v>2793</v>
      </c>
      <c r="Z44" s="55">
        <v>2870</v>
      </c>
      <c r="AA44" s="55">
        <v>2823</v>
      </c>
      <c r="AB44" s="55">
        <v>2965</v>
      </c>
      <c r="AC44" s="55">
        <v>3000</v>
      </c>
      <c r="AD44" s="55">
        <v>3029</v>
      </c>
      <c r="AE44" s="55">
        <v>3082</v>
      </c>
      <c r="AF44" s="55">
        <v>3118</v>
      </c>
      <c r="AG44" s="55">
        <v>3200</v>
      </c>
      <c r="AH44" s="55">
        <v>3180</v>
      </c>
      <c r="AI44" s="55">
        <v>3222</v>
      </c>
      <c r="AJ44" s="55">
        <v>3218</v>
      </c>
      <c r="AK44" s="55">
        <v>3121</v>
      </c>
      <c r="AL44" s="55">
        <v>3087</v>
      </c>
      <c r="AM44" s="55">
        <v>3229</v>
      </c>
      <c r="AN44" s="55">
        <v>3382</v>
      </c>
      <c r="AO44" s="55">
        <v>3597</v>
      </c>
      <c r="AP44" s="55">
        <v>3867</v>
      </c>
      <c r="AQ44" s="55">
        <v>4060</v>
      </c>
      <c r="AR44" s="55">
        <v>4321</v>
      </c>
      <c r="AS44" s="55">
        <v>4626</v>
      </c>
      <c r="AT44" s="55">
        <v>4959</v>
      </c>
      <c r="AU44" s="55">
        <v>5498</v>
      </c>
      <c r="AV44" s="55">
        <v>6071</v>
      </c>
      <c r="AW44" s="55">
        <v>5537</v>
      </c>
      <c r="AX44" s="55">
        <v>5465</v>
      </c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28"/>
      <c r="CI44" s="28"/>
      <c r="CJ44" s="28"/>
      <c r="CK44" s="28"/>
      <c r="CL44" s="28"/>
      <c r="CM44" s="28"/>
      <c r="CN44" s="28"/>
      <c r="CO44" s="28"/>
      <c r="CP44" s="28"/>
      <c r="CQ44" s="28"/>
    </row>
    <row r="45" spans="1:95" s="10" customFormat="1" ht="24.95" customHeight="1" x14ac:dyDescent="0.2">
      <c r="A45" s="51" t="s">
        <v>4</v>
      </c>
      <c r="B45" s="67">
        <f>SUM(B46,B47)</f>
        <v>412</v>
      </c>
      <c r="C45" s="67">
        <f t="shared" ref="C45:AX45" si="10">SUM(C46,C47)</f>
        <v>444</v>
      </c>
      <c r="D45" s="67">
        <f t="shared" si="10"/>
        <v>455</v>
      </c>
      <c r="E45" s="67">
        <f t="shared" si="10"/>
        <v>549</v>
      </c>
      <c r="F45" s="67">
        <f t="shared" si="10"/>
        <v>602</v>
      </c>
      <c r="G45" s="67">
        <f t="shared" si="10"/>
        <v>728</v>
      </c>
      <c r="H45" s="67">
        <f t="shared" si="10"/>
        <v>852</v>
      </c>
      <c r="I45" s="67">
        <f t="shared" si="10"/>
        <v>1028</v>
      </c>
      <c r="J45" s="67">
        <f t="shared" si="10"/>
        <v>1190</v>
      </c>
      <c r="K45" s="67">
        <f t="shared" si="10"/>
        <v>1293</v>
      </c>
      <c r="L45" s="67">
        <f t="shared" si="10"/>
        <v>1432</v>
      </c>
      <c r="M45" s="67">
        <f t="shared" si="10"/>
        <v>1459</v>
      </c>
      <c r="N45" s="67">
        <f t="shared" si="10"/>
        <v>1528</v>
      </c>
      <c r="O45" s="67">
        <f t="shared" si="10"/>
        <v>1543</v>
      </c>
      <c r="P45" s="67">
        <f t="shared" si="10"/>
        <v>1621</v>
      </c>
      <c r="Q45" s="67">
        <f t="shared" si="10"/>
        <v>1704</v>
      </c>
      <c r="R45" s="67">
        <f t="shared" si="10"/>
        <v>1769</v>
      </c>
      <c r="S45" s="67">
        <f t="shared" si="10"/>
        <v>1786</v>
      </c>
      <c r="T45" s="67">
        <f t="shared" si="10"/>
        <v>1794</v>
      </c>
      <c r="U45" s="67">
        <f t="shared" si="10"/>
        <v>1862</v>
      </c>
      <c r="V45" s="67">
        <f t="shared" si="10"/>
        <v>1922</v>
      </c>
      <c r="W45" s="67">
        <f t="shared" si="10"/>
        <v>2118</v>
      </c>
      <c r="X45" s="67">
        <f t="shared" si="10"/>
        <v>2254</v>
      </c>
      <c r="Y45" s="72">
        <f t="shared" si="10"/>
        <v>2285</v>
      </c>
      <c r="Z45" s="72">
        <f t="shared" si="10"/>
        <v>2415</v>
      </c>
      <c r="AA45" s="72">
        <f t="shared" si="10"/>
        <v>2458</v>
      </c>
      <c r="AB45" s="72">
        <f t="shared" si="10"/>
        <v>2520</v>
      </c>
      <c r="AC45" s="72">
        <f t="shared" si="10"/>
        <v>2477</v>
      </c>
      <c r="AD45" s="72">
        <f t="shared" si="10"/>
        <v>2473</v>
      </c>
      <c r="AE45" s="72">
        <f t="shared" si="10"/>
        <v>2481</v>
      </c>
      <c r="AF45" s="72">
        <f t="shared" si="10"/>
        <v>2403</v>
      </c>
      <c r="AG45" s="72">
        <f t="shared" si="10"/>
        <v>2423</v>
      </c>
      <c r="AH45" s="72">
        <f t="shared" si="10"/>
        <v>2467</v>
      </c>
      <c r="AI45" s="72">
        <f t="shared" si="10"/>
        <v>2466</v>
      </c>
      <c r="AJ45" s="72">
        <f t="shared" si="10"/>
        <v>2440</v>
      </c>
      <c r="AK45" s="72">
        <f t="shared" si="10"/>
        <v>2359</v>
      </c>
      <c r="AL45" s="72">
        <f t="shared" si="10"/>
        <v>2397</v>
      </c>
      <c r="AM45" s="72">
        <f t="shared" si="10"/>
        <v>2397</v>
      </c>
      <c r="AN45" s="72">
        <f t="shared" si="10"/>
        <v>2459</v>
      </c>
      <c r="AO45" s="72">
        <f t="shared" si="10"/>
        <v>2872</v>
      </c>
      <c r="AP45" s="72">
        <f t="shared" si="10"/>
        <v>2885</v>
      </c>
      <c r="AQ45" s="72">
        <f t="shared" si="10"/>
        <v>3186</v>
      </c>
      <c r="AR45" s="72">
        <f t="shared" si="10"/>
        <v>3453</v>
      </c>
      <c r="AS45" s="72">
        <f t="shared" si="10"/>
        <v>3628</v>
      </c>
      <c r="AT45" s="72">
        <f t="shared" si="10"/>
        <v>3997</v>
      </c>
      <c r="AU45" s="72">
        <f t="shared" si="10"/>
        <v>4629</v>
      </c>
      <c r="AV45" s="72">
        <f t="shared" si="10"/>
        <v>4922</v>
      </c>
      <c r="AW45" s="72">
        <f t="shared" si="10"/>
        <v>6184</v>
      </c>
      <c r="AX45" s="72">
        <f t="shared" si="10"/>
        <v>7014</v>
      </c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24"/>
      <c r="CI45" s="24"/>
      <c r="CJ45" s="24"/>
      <c r="CK45" s="24"/>
      <c r="CL45" s="24"/>
      <c r="CM45" s="24"/>
      <c r="CN45" s="24"/>
      <c r="CO45" s="24"/>
      <c r="CP45" s="24"/>
      <c r="CQ45" s="24"/>
    </row>
    <row r="46" spans="1:95" s="5" customFormat="1" ht="24.95" customHeight="1" x14ac:dyDescent="0.3">
      <c r="A46" s="54" t="s">
        <v>2</v>
      </c>
      <c r="B46" s="52">
        <v>126</v>
      </c>
      <c r="C46" s="52">
        <v>146</v>
      </c>
      <c r="D46" s="52">
        <v>169</v>
      </c>
      <c r="E46" s="52">
        <v>180</v>
      </c>
      <c r="F46" s="52">
        <v>192</v>
      </c>
      <c r="G46" s="52">
        <v>192</v>
      </c>
      <c r="H46" s="52">
        <v>241</v>
      </c>
      <c r="I46" s="52">
        <v>263</v>
      </c>
      <c r="J46" s="52">
        <v>310</v>
      </c>
      <c r="K46" s="52">
        <v>326</v>
      </c>
      <c r="L46" s="52">
        <v>336</v>
      </c>
      <c r="M46" s="52">
        <v>344</v>
      </c>
      <c r="N46" s="52">
        <v>370</v>
      </c>
      <c r="O46" s="52">
        <v>408</v>
      </c>
      <c r="P46" s="52">
        <v>402</v>
      </c>
      <c r="Q46" s="52">
        <v>451</v>
      </c>
      <c r="R46" s="52">
        <v>443</v>
      </c>
      <c r="S46" s="52">
        <v>429</v>
      </c>
      <c r="T46" s="52">
        <v>467</v>
      </c>
      <c r="U46" s="52">
        <v>477</v>
      </c>
      <c r="V46" s="52">
        <v>462</v>
      </c>
      <c r="W46" s="52">
        <v>521</v>
      </c>
      <c r="X46" s="52">
        <v>557</v>
      </c>
      <c r="Y46" s="55">
        <v>568</v>
      </c>
      <c r="Z46" s="55">
        <v>597</v>
      </c>
      <c r="AA46" s="55">
        <v>628</v>
      </c>
      <c r="AB46" s="55">
        <v>641</v>
      </c>
      <c r="AC46" s="55">
        <v>635</v>
      </c>
      <c r="AD46" s="55">
        <v>620</v>
      </c>
      <c r="AE46" s="55">
        <v>624</v>
      </c>
      <c r="AF46" s="55">
        <v>611</v>
      </c>
      <c r="AG46" s="55">
        <v>568</v>
      </c>
      <c r="AH46" s="55">
        <v>623</v>
      </c>
      <c r="AI46" s="55">
        <v>621</v>
      </c>
      <c r="AJ46" s="55">
        <v>653</v>
      </c>
      <c r="AK46" s="55">
        <v>633</v>
      </c>
      <c r="AL46" s="55">
        <v>650</v>
      </c>
      <c r="AM46" s="55">
        <v>605</v>
      </c>
      <c r="AN46" s="55">
        <v>581</v>
      </c>
      <c r="AO46" s="55">
        <v>623</v>
      </c>
      <c r="AP46" s="55">
        <v>651</v>
      </c>
      <c r="AQ46" s="55">
        <v>706</v>
      </c>
      <c r="AR46" s="55">
        <v>753</v>
      </c>
      <c r="AS46" s="55">
        <v>776</v>
      </c>
      <c r="AT46" s="55">
        <v>845</v>
      </c>
      <c r="AU46" s="55">
        <v>914</v>
      </c>
      <c r="AV46" s="55">
        <v>920</v>
      </c>
      <c r="AW46" s="55">
        <v>1452</v>
      </c>
      <c r="AX46" s="55">
        <v>1717</v>
      </c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28"/>
      <c r="CI46" s="28"/>
      <c r="CJ46" s="28"/>
      <c r="CK46" s="28"/>
      <c r="CL46" s="28"/>
      <c r="CM46" s="28"/>
      <c r="CN46" s="28"/>
      <c r="CO46" s="28"/>
      <c r="CP46" s="28"/>
      <c r="CQ46" s="28"/>
    </row>
    <row r="47" spans="1:95" s="5" customFormat="1" ht="24.95" customHeight="1" x14ac:dyDescent="0.3">
      <c r="A47" s="54" t="s">
        <v>3</v>
      </c>
      <c r="B47" s="52">
        <v>286</v>
      </c>
      <c r="C47" s="52">
        <v>298</v>
      </c>
      <c r="D47" s="52">
        <v>286</v>
      </c>
      <c r="E47" s="52">
        <v>369</v>
      </c>
      <c r="F47" s="52">
        <v>410</v>
      </c>
      <c r="G47" s="52">
        <v>536</v>
      </c>
      <c r="H47" s="52">
        <v>611</v>
      </c>
      <c r="I47" s="52">
        <v>765</v>
      </c>
      <c r="J47" s="52">
        <v>880</v>
      </c>
      <c r="K47" s="52">
        <v>967</v>
      </c>
      <c r="L47" s="52">
        <v>1096</v>
      </c>
      <c r="M47" s="52">
        <v>1115</v>
      </c>
      <c r="N47" s="52">
        <v>1158</v>
      </c>
      <c r="O47" s="52">
        <v>1135</v>
      </c>
      <c r="P47" s="52">
        <v>1219</v>
      </c>
      <c r="Q47" s="52">
        <v>1253</v>
      </c>
      <c r="R47" s="52">
        <v>1326</v>
      </c>
      <c r="S47" s="52">
        <v>1357</v>
      </c>
      <c r="T47" s="52">
        <v>1327</v>
      </c>
      <c r="U47" s="52">
        <v>1385</v>
      </c>
      <c r="V47" s="52">
        <v>1460</v>
      </c>
      <c r="W47" s="52">
        <v>1597</v>
      </c>
      <c r="X47" s="52">
        <v>1697</v>
      </c>
      <c r="Y47" s="55">
        <v>1717</v>
      </c>
      <c r="Z47" s="55">
        <v>1818</v>
      </c>
      <c r="AA47" s="55">
        <v>1830</v>
      </c>
      <c r="AB47" s="55">
        <v>1879</v>
      </c>
      <c r="AC47" s="55">
        <v>1842</v>
      </c>
      <c r="AD47" s="55">
        <v>1853</v>
      </c>
      <c r="AE47" s="55">
        <v>1857</v>
      </c>
      <c r="AF47" s="55">
        <v>1792</v>
      </c>
      <c r="AG47" s="55">
        <v>1855</v>
      </c>
      <c r="AH47" s="55">
        <v>1844</v>
      </c>
      <c r="AI47" s="55">
        <v>1845</v>
      </c>
      <c r="AJ47" s="55">
        <v>1787</v>
      </c>
      <c r="AK47" s="55">
        <v>1726</v>
      </c>
      <c r="AL47" s="55">
        <v>1747</v>
      </c>
      <c r="AM47" s="55">
        <v>1792</v>
      </c>
      <c r="AN47" s="55">
        <v>1878</v>
      </c>
      <c r="AO47" s="55">
        <v>2249</v>
      </c>
      <c r="AP47" s="55">
        <v>2234</v>
      </c>
      <c r="AQ47" s="55">
        <v>2480</v>
      </c>
      <c r="AR47" s="55">
        <v>2700</v>
      </c>
      <c r="AS47" s="55">
        <v>2852</v>
      </c>
      <c r="AT47" s="55">
        <v>3152</v>
      </c>
      <c r="AU47" s="55">
        <v>3715</v>
      </c>
      <c r="AV47" s="55">
        <v>4002</v>
      </c>
      <c r="AW47" s="55">
        <v>4732</v>
      </c>
      <c r="AX47" s="55">
        <v>5297</v>
      </c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28"/>
      <c r="CI47" s="28"/>
      <c r="CJ47" s="28"/>
      <c r="CK47" s="28"/>
      <c r="CL47" s="28"/>
      <c r="CM47" s="28"/>
      <c r="CN47" s="28"/>
      <c r="CO47" s="28"/>
      <c r="CP47" s="28"/>
      <c r="CQ47" s="28"/>
    </row>
    <row r="48" spans="1:95" s="10" customFormat="1" ht="24.95" customHeight="1" x14ac:dyDescent="0.2">
      <c r="A48" s="51" t="s">
        <v>5</v>
      </c>
      <c r="B48" s="67">
        <f>SUM(B49,B50)</f>
        <v>466</v>
      </c>
      <c r="C48" s="67">
        <f t="shared" ref="C48:AX48" si="11">SUM(C49,C50)</f>
        <v>417</v>
      </c>
      <c r="D48" s="67">
        <f t="shared" si="11"/>
        <v>425</v>
      </c>
      <c r="E48" s="67">
        <f t="shared" si="11"/>
        <v>230</v>
      </c>
      <c r="F48" s="67">
        <f t="shared" si="11"/>
        <v>191</v>
      </c>
      <c r="G48" s="67">
        <f t="shared" si="11"/>
        <v>142</v>
      </c>
      <c r="H48" s="67">
        <f t="shared" si="11"/>
        <v>124</v>
      </c>
      <c r="I48" s="67">
        <f t="shared" si="11"/>
        <v>134</v>
      </c>
      <c r="J48" s="67">
        <f t="shared" si="11"/>
        <v>128</v>
      </c>
      <c r="K48" s="67">
        <f t="shared" si="11"/>
        <v>120</v>
      </c>
      <c r="L48" s="67">
        <f t="shared" si="11"/>
        <v>111</v>
      </c>
      <c r="M48" s="67">
        <f t="shared" si="11"/>
        <v>119</v>
      </c>
      <c r="N48" s="67">
        <f t="shared" si="11"/>
        <v>131</v>
      </c>
      <c r="O48" s="67">
        <f t="shared" si="11"/>
        <v>100</v>
      </c>
      <c r="P48" s="67">
        <f t="shared" si="11"/>
        <v>96</v>
      </c>
      <c r="Q48" s="67">
        <f t="shared" si="11"/>
        <v>99</v>
      </c>
      <c r="R48" s="67">
        <f t="shared" si="11"/>
        <v>134</v>
      </c>
      <c r="S48" s="67">
        <f t="shared" si="11"/>
        <v>208</v>
      </c>
      <c r="T48" s="67">
        <f t="shared" si="11"/>
        <v>395</v>
      </c>
      <c r="U48" s="67">
        <f t="shared" si="11"/>
        <v>352</v>
      </c>
      <c r="V48" s="67">
        <f t="shared" si="11"/>
        <v>480</v>
      </c>
      <c r="W48" s="67">
        <f t="shared" si="11"/>
        <v>534</v>
      </c>
      <c r="X48" s="67">
        <f t="shared" si="11"/>
        <v>451</v>
      </c>
      <c r="Y48" s="67">
        <f t="shared" si="11"/>
        <v>372</v>
      </c>
      <c r="Z48" s="67">
        <f t="shared" si="11"/>
        <v>324</v>
      </c>
      <c r="AA48" s="67">
        <f t="shared" si="11"/>
        <v>176</v>
      </c>
      <c r="AB48" s="67">
        <f t="shared" si="11"/>
        <v>116</v>
      </c>
      <c r="AC48" s="67">
        <f t="shared" si="11"/>
        <v>66</v>
      </c>
      <c r="AD48" s="67">
        <f t="shared" si="11"/>
        <v>41</v>
      </c>
      <c r="AE48" s="67">
        <f t="shared" si="11"/>
        <v>22</v>
      </c>
      <c r="AF48" s="67">
        <f t="shared" si="11"/>
        <v>8</v>
      </c>
      <c r="AG48" s="67">
        <f t="shared" si="11"/>
        <v>5</v>
      </c>
      <c r="AH48" s="67">
        <f t="shared" si="11"/>
        <v>3</v>
      </c>
      <c r="AI48" s="67">
        <f t="shared" si="11"/>
        <v>1</v>
      </c>
      <c r="AJ48" s="67">
        <f t="shared" si="11"/>
        <v>0</v>
      </c>
      <c r="AK48" s="67">
        <f t="shared" si="11"/>
        <v>0</v>
      </c>
      <c r="AL48" s="67">
        <f t="shared" si="11"/>
        <v>0</v>
      </c>
      <c r="AM48" s="67">
        <f t="shared" si="11"/>
        <v>0</v>
      </c>
      <c r="AN48" s="67">
        <f t="shared" si="11"/>
        <v>0</v>
      </c>
      <c r="AO48" s="67">
        <f t="shared" si="11"/>
        <v>0</v>
      </c>
      <c r="AP48" s="67">
        <f t="shared" si="11"/>
        <v>0</v>
      </c>
      <c r="AQ48" s="67">
        <f t="shared" si="11"/>
        <v>0</v>
      </c>
      <c r="AR48" s="67">
        <f t="shared" si="11"/>
        <v>0</v>
      </c>
      <c r="AS48" s="67">
        <f t="shared" si="11"/>
        <v>0</v>
      </c>
      <c r="AT48" s="67">
        <f t="shared" si="11"/>
        <v>0</v>
      </c>
      <c r="AU48" s="67">
        <f t="shared" si="11"/>
        <v>0</v>
      </c>
      <c r="AV48" s="67">
        <f t="shared" si="11"/>
        <v>0</v>
      </c>
      <c r="AW48" s="67">
        <f t="shared" si="11"/>
        <v>0</v>
      </c>
      <c r="AX48" s="67">
        <f t="shared" si="11"/>
        <v>0</v>
      </c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24"/>
      <c r="CI48" s="24"/>
      <c r="CJ48" s="24"/>
      <c r="CK48" s="24"/>
      <c r="CL48" s="24"/>
      <c r="CM48" s="24"/>
      <c r="CN48" s="24"/>
      <c r="CO48" s="24"/>
      <c r="CP48" s="24"/>
      <c r="CQ48" s="24"/>
    </row>
    <row r="49" spans="1:95" s="5" customFormat="1" ht="24.95" customHeight="1" x14ac:dyDescent="0.3">
      <c r="A49" s="54" t="s">
        <v>2</v>
      </c>
      <c r="B49" s="52">
        <v>463</v>
      </c>
      <c r="C49" s="52">
        <v>416</v>
      </c>
      <c r="D49" s="52">
        <v>424</v>
      </c>
      <c r="E49" s="52">
        <f>75+154</f>
        <v>229</v>
      </c>
      <c r="F49" s="52">
        <f>123+67</f>
        <v>190</v>
      </c>
      <c r="G49" s="52">
        <f>92+48</f>
        <v>140</v>
      </c>
      <c r="H49" s="52">
        <f>84+36</f>
        <v>120</v>
      </c>
      <c r="I49" s="52">
        <f>84+44</f>
        <v>128</v>
      </c>
      <c r="J49" s="52">
        <f>69+56</f>
        <v>125</v>
      </c>
      <c r="K49" s="52">
        <f>69+47</f>
        <v>116</v>
      </c>
      <c r="L49" s="52">
        <v>110</v>
      </c>
      <c r="M49" s="52">
        <f>73+46</f>
        <v>119</v>
      </c>
      <c r="N49" s="52">
        <f>86+45</f>
        <v>131</v>
      </c>
      <c r="O49" s="52">
        <f>86+14</f>
        <v>100</v>
      </c>
      <c r="P49" s="52">
        <f>74+20</f>
        <v>94</v>
      </c>
      <c r="Q49" s="52">
        <f>82+14</f>
        <v>96</v>
      </c>
      <c r="R49" s="52">
        <f>78+53</f>
        <v>131</v>
      </c>
      <c r="S49" s="52">
        <f>89+118</f>
        <v>207</v>
      </c>
      <c r="T49" s="52">
        <f>91+302</f>
        <v>393</v>
      </c>
      <c r="U49" s="52">
        <f>92+260</f>
        <v>352</v>
      </c>
      <c r="V49" s="52">
        <f>105+375</f>
        <v>480</v>
      </c>
      <c r="W49" s="52">
        <f>95+436</f>
        <v>531</v>
      </c>
      <c r="X49" s="52">
        <f>83+367</f>
        <v>450</v>
      </c>
      <c r="Y49" s="55">
        <f>78+293</f>
        <v>371</v>
      </c>
      <c r="Z49" s="55">
        <f>58+265</f>
        <v>323</v>
      </c>
      <c r="AA49" s="55">
        <v>176</v>
      </c>
      <c r="AB49" s="55">
        <v>116</v>
      </c>
      <c r="AC49" s="55">
        <v>66</v>
      </c>
      <c r="AD49" s="55">
        <v>41</v>
      </c>
      <c r="AE49" s="55">
        <v>22</v>
      </c>
      <c r="AF49" s="55">
        <v>8</v>
      </c>
      <c r="AG49" s="55">
        <v>5</v>
      </c>
      <c r="AH49" s="55">
        <v>3</v>
      </c>
      <c r="AI49" s="55">
        <v>1</v>
      </c>
      <c r="AJ49" s="55">
        <v>0</v>
      </c>
      <c r="AK49" s="55">
        <v>0</v>
      </c>
      <c r="AL49" s="55">
        <v>0</v>
      </c>
      <c r="AM49" s="55">
        <v>0</v>
      </c>
      <c r="AN49" s="55">
        <v>0</v>
      </c>
      <c r="AO49" s="55">
        <v>0</v>
      </c>
      <c r="AP49" s="55">
        <v>0</v>
      </c>
      <c r="AQ49" s="55">
        <v>0</v>
      </c>
      <c r="AR49" s="55">
        <v>0</v>
      </c>
      <c r="AS49" s="55">
        <v>0</v>
      </c>
      <c r="AT49" s="55">
        <v>0</v>
      </c>
      <c r="AU49" s="55">
        <v>0</v>
      </c>
      <c r="AV49" s="55">
        <v>0</v>
      </c>
      <c r="AW49" s="55">
        <v>0</v>
      </c>
      <c r="AX49" s="55">
        <v>0</v>
      </c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28"/>
      <c r="CI49" s="28"/>
      <c r="CJ49" s="28"/>
      <c r="CK49" s="28"/>
      <c r="CL49" s="28"/>
      <c r="CM49" s="28"/>
      <c r="CN49" s="28"/>
      <c r="CO49" s="28"/>
      <c r="CP49" s="28"/>
      <c r="CQ49" s="28"/>
    </row>
    <row r="50" spans="1:95" s="5" customFormat="1" ht="24.95" customHeight="1" thickBot="1" x14ac:dyDescent="0.35">
      <c r="A50" s="56" t="s">
        <v>3</v>
      </c>
      <c r="B50" s="57">
        <v>3</v>
      </c>
      <c r="C50" s="57">
        <v>1</v>
      </c>
      <c r="D50" s="57">
        <v>1</v>
      </c>
      <c r="E50" s="57">
        <f>0+1</f>
        <v>1</v>
      </c>
      <c r="F50" s="57">
        <f>0+1</f>
        <v>1</v>
      </c>
      <c r="G50" s="57">
        <f>0+2</f>
        <v>2</v>
      </c>
      <c r="H50" s="57">
        <f>0+4</f>
        <v>4</v>
      </c>
      <c r="I50" s="57">
        <f>0+6</f>
        <v>6</v>
      </c>
      <c r="J50" s="57">
        <f>0+3</f>
        <v>3</v>
      </c>
      <c r="K50" s="57">
        <v>4</v>
      </c>
      <c r="L50" s="57">
        <v>1</v>
      </c>
      <c r="M50" s="57">
        <v>0</v>
      </c>
      <c r="N50" s="57">
        <v>0</v>
      </c>
      <c r="O50" s="57">
        <v>0</v>
      </c>
      <c r="P50" s="57">
        <v>2</v>
      </c>
      <c r="Q50" s="57">
        <f>3</f>
        <v>3</v>
      </c>
      <c r="R50" s="57">
        <v>3</v>
      </c>
      <c r="S50" s="57">
        <v>1</v>
      </c>
      <c r="T50" s="57">
        <v>2</v>
      </c>
      <c r="U50" s="57">
        <v>0</v>
      </c>
      <c r="V50" s="57">
        <v>0</v>
      </c>
      <c r="W50" s="57">
        <v>3</v>
      </c>
      <c r="X50" s="57">
        <v>1</v>
      </c>
      <c r="Y50" s="58">
        <v>1</v>
      </c>
      <c r="Z50" s="58">
        <f>1</f>
        <v>1</v>
      </c>
      <c r="AA50" s="58">
        <v>0</v>
      </c>
      <c r="AB50" s="58">
        <v>0</v>
      </c>
      <c r="AC50" s="58">
        <v>0</v>
      </c>
      <c r="AD50" s="58">
        <v>0</v>
      </c>
      <c r="AE50" s="58">
        <v>0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0</v>
      </c>
      <c r="AM50" s="58">
        <v>0</v>
      </c>
      <c r="AN50" s="58">
        <v>0</v>
      </c>
      <c r="AO50" s="58">
        <v>0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  <c r="AU50" s="58">
        <v>0</v>
      </c>
      <c r="AV50" s="58">
        <v>0</v>
      </c>
      <c r="AW50" s="58">
        <v>0</v>
      </c>
      <c r="AX50" s="58">
        <v>0</v>
      </c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28"/>
      <c r="CI50" s="28"/>
      <c r="CJ50" s="28"/>
      <c r="CK50" s="28"/>
      <c r="CL50" s="28"/>
      <c r="CM50" s="28"/>
      <c r="CN50" s="28"/>
      <c r="CO50" s="28"/>
      <c r="CP50" s="28"/>
      <c r="CQ50" s="28"/>
    </row>
    <row r="51" spans="1:95" s="5" customFormat="1" ht="24.95" customHeight="1" x14ac:dyDescent="0.3">
      <c r="A51" s="59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28"/>
      <c r="CI51" s="28"/>
      <c r="CJ51" s="28"/>
      <c r="CK51" s="28"/>
      <c r="CL51" s="28"/>
      <c r="CM51" s="28"/>
      <c r="CN51" s="28"/>
      <c r="CO51" s="28"/>
      <c r="CP51" s="28"/>
      <c r="CQ51" s="28"/>
    </row>
    <row r="52" spans="1:95" s="10" customFormat="1" ht="24.95" customHeight="1" x14ac:dyDescent="0.2">
      <c r="A52" s="51" t="s">
        <v>1</v>
      </c>
      <c r="B52" s="67">
        <f>SUM(B53,B54)</f>
        <v>3892</v>
      </c>
      <c r="C52" s="67">
        <f t="shared" ref="C52:AX52" si="12">SUM(C53,C54)</f>
        <v>4076</v>
      </c>
      <c r="D52" s="67">
        <f t="shared" si="12"/>
        <v>4460</v>
      </c>
      <c r="E52" s="67">
        <f t="shared" si="12"/>
        <v>4779</v>
      </c>
      <c r="F52" s="67">
        <f t="shared" si="12"/>
        <v>5073</v>
      </c>
      <c r="G52" s="67">
        <f t="shared" si="12"/>
        <v>5562</v>
      </c>
      <c r="H52" s="67">
        <f t="shared" si="12"/>
        <v>5728</v>
      </c>
      <c r="I52" s="67">
        <f t="shared" si="12"/>
        <v>5733</v>
      </c>
      <c r="J52" s="67">
        <f t="shared" si="12"/>
        <v>5959</v>
      </c>
      <c r="K52" s="67">
        <f t="shared" si="12"/>
        <v>6225</v>
      </c>
      <c r="L52" s="67">
        <f t="shared" si="12"/>
        <v>6360</v>
      </c>
      <c r="M52" s="67">
        <f t="shared" si="12"/>
        <v>6705</v>
      </c>
      <c r="N52" s="67">
        <f t="shared" si="12"/>
        <v>7444</v>
      </c>
      <c r="O52" s="67">
        <f t="shared" si="12"/>
        <v>7988</v>
      </c>
      <c r="P52" s="67">
        <f t="shared" si="12"/>
        <v>8240</v>
      </c>
      <c r="Q52" s="67">
        <f t="shared" si="12"/>
        <v>8652</v>
      </c>
      <c r="R52" s="67">
        <f t="shared" si="12"/>
        <v>8777</v>
      </c>
      <c r="S52" s="67">
        <f t="shared" si="12"/>
        <v>8628</v>
      </c>
      <c r="T52" s="67">
        <f t="shared" si="12"/>
        <v>8523</v>
      </c>
      <c r="U52" s="67">
        <f t="shared" si="12"/>
        <v>8906</v>
      </c>
      <c r="V52" s="67">
        <f t="shared" si="12"/>
        <v>9171</v>
      </c>
      <c r="W52" s="67">
        <f t="shared" si="12"/>
        <v>9530</v>
      </c>
      <c r="X52" s="67">
        <f t="shared" si="12"/>
        <v>10041</v>
      </c>
      <c r="Y52" s="72">
        <f t="shared" si="12"/>
        <v>10197</v>
      </c>
      <c r="Z52" s="72">
        <f t="shared" si="12"/>
        <v>10343</v>
      </c>
      <c r="AA52" s="72">
        <f t="shared" si="12"/>
        <v>10650</v>
      </c>
      <c r="AB52" s="72">
        <f t="shared" si="12"/>
        <v>10917</v>
      </c>
      <c r="AC52" s="72">
        <f t="shared" si="12"/>
        <v>10987</v>
      </c>
      <c r="AD52" s="72">
        <f t="shared" si="12"/>
        <v>11059</v>
      </c>
      <c r="AE52" s="72">
        <f t="shared" si="12"/>
        <v>11403</v>
      </c>
      <c r="AF52" s="72">
        <f t="shared" si="12"/>
        <v>11355</v>
      </c>
      <c r="AG52" s="72">
        <f t="shared" si="12"/>
        <v>11640</v>
      </c>
      <c r="AH52" s="72">
        <f t="shared" si="12"/>
        <v>11906</v>
      </c>
      <c r="AI52" s="72">
        <f t="shared" si="12"/>
        <v>11894</v>
      </c>
      <c r="AJ52" s="72">
        <f t="shared" si="12"/>
        <v>11691</v>
      </c>
      <c r="AK52" s="72">
        <f t="shared" si="12"/>
        <v>11454</v>
      </c>
      <c r="AL52" s="72">
        <f t="shared" si="12"/>
        <v>11345</v>
      </c>
      <c r="AM52" s="72">
        <f t="shared" si="12"/>
        <v>11723</v>
      </c>
      <c r="AN52" s="72">
        <f t="shared" si="12"/>
        <v>12216</v>
      </c>
      <c r="AO52" s="72">
        <f t="shared" si="12"/>
        <v>12639</v>
      </c>
      <c r="AP52" s="72">
        <f t="shared" si="12"/>
        <v>12938</v>
      </c>
      <c r="AQ52" s="72">
        <f t="shared" si="12"/>
        <v>13111</v>
      </c>
      <c r="AR52" s="72">
        <f t="shared" si="12"/>
        <v>13339</v>
      </c>
      <c r="AS52" s="72">
        <f t="shared" si="12"/>
        <v>13951</v>
      </c>
      <c r="AT52" s="72">
        <f t="shared" si="12"/>
        <v>15107</v>
      </c>
      <c r="AU52" s="72">
        <f t="shared" si="12"/>
        <v>16529</v>
      </c>
      <c r="AV52" s="72">
        <f t="shared" si="12"/>
        <v>18087</v>
      </c>
      <c r="AW52" s="72">
        <f t="shared" si="12"/>
        <v>16863</v>
      </c>
      <c r="AX52" s="72">
        <f t="shared" si="12"/>
        <v>16382</v>
      </c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24"/>
      <c r="CI52" s="24"/>
      <c r="CJ52" s="24"/>
      <c r="CK52" s="24"/>
      <c r="CL52" s="24"/>
      <c r="CM52" s="24"/>
      <c r="CN52" s="24"/>
      <c r="CO52" s="24"/>
      <c r="CP52" s="24"/>
      <c r="CQ52" s="24"/>
    </row>
    <row r="53" spans="1:95" s="5" customFormat="1" ht="24.95" customHeight="1" x14ac:dyDescent="0.3">
      <c r="A53" s="54" t="s">
        <v>2</v>
      </c>
      <c r="B53" s="52">
        <v>2443</v>
      </c>
      <c r="C53" s="52">
        <v>2514</v>
      </c>
      <c r="D53" s="52">
        <v>2814</v>
      </c>
      <c r="E53" s="52">
        <v>2843</v>
      </c>
      <c r="F53" s="52">
        <v>2962</v>
      </c>
      <c r="G53" s="52">
        <v>3150</v>
      </c>
      <c r="H53" s="52">
        <v>3286</v>
      </c>
      <c r="I53" s="52">
        <v>3281</v>
      </c>
      <c r="J53" s="52">
        <v>3414</v>
      </c>
      <c r="K53" s="52">
        <v>3583</v>
      </c>
      <c r="L53" s="52">
        <v>3587</v>
      </c>
      <c r="M53" s="52">
        <v>3804</v>
      </c>
      <c r="N53" s="52">
        <v>4247</v>
      </c>
      <c r="O53" s="52">
        <v>4571</v>
      </c>
      <c r="P53" s="52">
        <v>4748</v>
      </c>
      <c r="Q53" s="52">
        <v>5076</v>
      </c>
      <c r="R53" s="52">
        <v>5147</v>
      </c>
      <c r="S53" s="52">
        <v>5097</v>
      </c>
      <c r="T53" s="52">
        <v>5005</v>
      </c>
      <c r="U53" s="52">
        <v>5166</v>
      </c>
      <c r="V53" s="52">
        <v>5290</v>
      </c>
      <c r="W53" s="52">
        <v>5463</v>
      </c>
      <c r="X53" s="52">
        <v>5673</v>
      </c>
      <c r="Y53" s="55">
        <v>5716</v>
      </c>
      <c r="Z53" s="55">
        <v>5810</v>
      </c>
      <c r="AA53" s="55">
        <v>6027</v>
      </c>
      <c r="AB53" s="55">
        <v>6145</v>
      </c>
      <c r="AC53" s="55">
        <v>6139</v>
      </c>
      <c r="AD53" s="55">
        <v>6134</v>
      </c>
      <c r="AE53" s="55">
        <v>6307</v>
      </c>
      <c r="AF53" s="55">
        <v>6226</v>
      </c>
      <c r="AG53" s="55">
        <v>6357</v>
      </c>
      <c r="AH53" s="55">
        <v>6434</v>
      </c>
      <c r="AI53" s="55">
        <v>6388</v>
      </c>
      <c r="AJ53" s="55">
        <v>6228</v>
      </c>
      <c r="AK53" s="55">
        <v>6008</v>
      </c>
      <c r="AL53" s="55">
        <v>5869</v>
      </c>
      <c r="AM53" s="55">
        <v>5894</v>
      </c>
      <c r="AN53" s="55">
        <v>5945</v>
      </c>
      <c r="AO53" s="55">
        <v>6127</v>
      </c>
      <c r="AP53" s="55">
        <v>6229</v>
      </c>
      <c r="AQ53" s="55">
        <v>6192</v>
      </c>
      <c r="AR53" s="55">
        <v>6307</v>
      </c>
      <c r="AS53" s="55">
        <v>6617</v>
      </c>
      <c r="AT53" s="55">
        <v>7087</v>
      </c>
      <c r="AU53" s="55">
        <v>7875</v>
      </c>
      <c r="AV53" s="55">
        <v>8532</v>
      </c>
      <c r="AW53" s="55">
        <v>7928</v>
      </c>
      <c r="AX53" s="55">
        <v>7623</v>
      </c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28"/>
      <c r="CI53" s="28"/>
      <c r="CJ53" s="28"/>
      <c r="CK53" s="28"/>
      <c r="CL53" s="28"/>
      <c r="CM53" s="28"/>
      <c r="CN53" s="28"/>
      <c r="CO53" s="28"/>
      <c r="CP53" s="28"/>
      <c r="CQ53" s="28"/>
    </row>
    <row r="54" spans="1:95" s="5" customFormat="1" ht="24.95" customHeight="1" x14ac:dyDescent="0.3">
      <c r="A54" s="54" t="s">
        <v>3</v>
      </c>
      <c r="B54" s="52">
        <v>1449</v>
      </c>
      <c r="C54" s="52">
        <v>1562</v>
      </c>
      <c r="D54" s="52">
        <v>1646</v>
      </c>
      <c r="E54" s="52">
        <v>1936</v>
      </c>
      <c r="F54" s="52">
        <v>2111</v>
      </c>
      <c r="G54" s="52">
        <v>2412</v>
      </c>
      <c r="H54" s="52">
        <v>2442</v>
      </c>
      <c r="I54" s="52">
        <v>2452</v>
      </c>
      <c r="J54" s="52">
        <v>2545</v>
      </c>
      <c r="K54" s="52">
        <v>2642</v>
      </c>
      <c r="L54" s="52">
        <v>2773</v>
      </c>
      <c r="M54" s="52">
        <v>2901</v>
      </c>
      <c r="N54" s="52">
        <v>3197</v>
      </c>
      <c r="O54" s="52">
        <v>3417</v>
      </c>
      <c r="P54" s="52">
        <v>3492</v>
      </c>
      <c r="Q54" s="52">
        <v>3576</v>
      </c>
      <c r="R54" s="52">
        <v>3630</v>
      </c>
      <c r="S54" s="52">
        <v>3531</v>
      </c>
      <c r="T54" s="52">
        <v>3518</v>
      </c>
      <c r="U54" s="52">
        <v>3740</v>
      </c>
      <c r="V54" s="52">
        <v>3881</v>
      </c>
      <c r="W54" s="52">
        <v>4067</v>
      </c>
      <c r="X54" s="52">
        <v>4368</v>
      </c>
      <c r="Y54" s="55">
        <v>4481</v>
      </c>
      <c r="Z54" s="55">
        <v>4533</v>
      </c>
      <c r="AA54" s="55">
        <v>4623</v>
      </c>
      <c r="AB54" s="55">
        <v>4772</v>
      </c>
      <c r="AC54" s="55">
        <v>4848</v>
      </c>
      <c r="AD54" s="55">
        <v>4925</v>
      </c>
      <c r="AE54" s="55">
        <v>5096</v>
      </c>
      <c r="AF54" s="55">
        <v>5129</v>
      </c>
      <c r="AG54" s="55">
        <v>5283</v>
      </c>
      <c r="AH54" s="55">
        <v>5472</v>
      </c>
      <c r="AI54" s="55">
        <v>5506</v>
      </c>
      <c r="AJ54" s="55">
        <v>5463</v>
      </c>
      <c r="AK54" s="55">
        <v>5446</v>
      </c>
      <c r="AL54" s="55">
        <v>5476</v>
      </c>
      <c r="AM54" s="55">
        <v>5829</v>
      </c>
      <c r="AN54" s="55">
        <v>6271</v>
      </c>
      <c r="AO54" s="55">
        <v>6512</v>
      </c>
      <c r="AP54" s="55">
        <v>6709</v>
      </c>
      <c r="AQ54" s="55">
        <v>6919</v>
      </c>
      <c r="AR54" s="55">
        <v>7032</v>
      </c>
      <c r="AS54" s="55">
        <v>7334</v>
      </c>
      <c r="AT54" s="55">
        <v>8020</v>
      </c>
      <c r="AU54" s="55">
        <v>8654</v>
      </c>
      <c r="AV54" s="55">
        <v>9555</v>
      </c>
      <c r="AW54" s="55">
        <v>8935</v>
      </c>
      <c r="AX54" s="55">
        <v>8759</v>
      </c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28"/>
      <c r="CI54" s="28"/>
      <c r="CJ54" s="28"/>
      <c r="CK54" s="28"/>
      <c r="CL54" s="28"/>
      <c r="CM54" s="28"/>
      <c r="CN54" s="28"/>
      <c r="CO54" s="28"/>
      <c r="CP54" s="28"/>
      <c r="CQ54" s="28"/>
    </row>
    <row r="55" spans="1:95" s="10" customFormat="1" ht="24.95" customHeight="1" x14ac:dyDescent="0.2">
      <c r="A55" s="51" t="s">
        <v>4</v>
      </c>
      <c r="B55" s="67">
        <f>SUM(B56,B57)</f>
        <v>558</v>
      </c>
      <c r="C55" s="67">
        <f t="shared" ref="C55:AX55" si="13">SUM(C56,C57)</f>
        <v>581</v>
      </c>
      <c r="D55" s="67">
        <f t="shared" si="13"/>
        <v>604</v>
      </c>
      <c r="E55" s="67">
        <f t="shared" si="13"/>
        <v>717</v>
      </c>
      <c r="F55" s="67">
        <f t="shared" si="13"/>
        <v>795</v>
      </c>
      <c r="G55" s="67">
        <f t="shared" si="13"/>
        <v>926</v>
      </c>
      <c r="H55" s="67">
        <f t="shared" si="13"/>
        <v>1007</v>
      </c>
      <c r="I55" s="67">
        <f t="shared" si="13"/>
        <v>1102</v>
      </c>
      <c r="J55" s="67">
        <f t="shared" si="13"/>
        <v>1213</v>
      </c>
      <c r="K55" s="67">
        <f t="shared" si="13"/>
        <v>1442</v>
      </c>
      <c r="L55" s="67">
        <f t="shared" si="13"/>
        <v>1560</v>
      </c>
      <c r="M55" s="67">
        <f t="shared" si="13"/>
        <v>1749</v>
      </c>
      <c r="N55" s="67">
        <f t="shared" si="13"/>
        <v>2032</v>
      </c>
      <c r="O55" s="67">
        <f t="shared" si="13"/>
        <v>2191</v>
      </c>
      <c r="P55" s="67">
        <f t="shared" si="13"/>
        <v>2319</v>
      </c>
      <c r="Q55" s="67">
        <f t="shared" si="13"/>
        <v>2405</v>
      </c>
      <c r="R55" s="67">
        <f t="shared" si="13"/>
        <v>2395</v>
      </c>
      <c r="S55" s="67">
        <f t="shared" si="13"/>
        <v>2385</v>
      </c>
      <c r="T55" s="67">
        <f t="shared" si="13"/>
        <v>2496</v>
      </c>
      <c r="U55" s="67">
        <f t="shared" si="13"/>
        <v>2571</v>
      </c>
      <c r="V55" s="67">
        <f t="shared" si="13"/>
        <v>2744</v>
      </c>
      <c r="W55" s="67">
        <f t="shared" si="13"/>
        <v>2848</v>
      </c>
      <c r="X55" s="67">
        <f t="shared" si="13"/>
        <v>3119</v>
      </c>
      <c r="Y55" s="72">
        <f t="shared" si="13"/>
        <v>3279</v>
      </c>
      <c r="Z55" s="72">
        <f t="shared" si="13"/>
        <v>3393</v>
      </c>
      <c r="AA55" s="72">
        <f t="shared" si="13"/>
        <v>3539</v>
      </c>
      <c r="AB55" s="72">
        <f t="shared" si="13"/>
        <v>3745</v>
      </c>
      <c r="AC55" s="72">
        <f t="shared" si="13"/>
        <v>3813</v>
      </c>
      <c r="AD55" s="72">
        <f t="shared" si="13"/>
        <v>3998</v>
      </c>
      <c r="AE55" s="72">
        <f t="shared" si="13"/>
        <v>4160</v>
      </c>
      <c r="AF55" s="72">
        <f t="shared" si="13"/>
        <v>4284</v>
      </c>
      <c r="AG55" s="72">
        <f t="shared" si="13"/>
        <v>4356</v>
      </c>
      <c r="AH55" s="72">
        <f t="shared" si="13"/>
        <v>4462</v>
      </c>
      <c r="AI55" s="72">
        <f t="shared" si="13"/>
        <v>4509</v>
      </c>
      <c r="AJ55" s="72">
        <f t="shared" si="13"/>
        <v>4608</v>
      </c>
      <c r="AK55" s="72">
        <f t="shared" si="13"/>
        <v>4419</v>
      </c>
      <c r="AL55" s="72">
        <f t="shared" si="13"/>
        <v>4298</v>
      </c>
      <c r="AM55" s="72">
        <f t="shared" si="13"/>
        <v>4431</v>
      </c>
      <c r="AN55" s="72">
        <f t="shared" si="13"/>
        <v>4672</v>
      </c>
      <c r="AO55" s="72">
        <f t="shared" si="13"/>
        <v>5172</v>
      </c>
      <c r="AP55" s="72">
        <f t="shared" si="13"/>
        <v>4984</v>
      </c>
      <c r="AQ55" s="72">
        <f t="shared" si="13"/>
        <v>5357</v>
      </c>
      <c r="AR55" s="72">
        <f t="shared" si="13"/>
        <v>5611</v>
      </c>
      <c r="AS55" s="72">
        <f t="shared" si="13"/>
        <v>5836</v>
      </c>
      <c r="AT55" s="72">
        <f t="shared" si="13"/>
        <v>6419</v>
      </c>
      <c r="AU55" s="72">
        <f t="shared" si="13"/>
        <v>7425</v>
      </c>
      <c r="AV55" s="72">
        <f t="shared" si="13"/>
        <v>8166</v>
      </c>
      <c r="AW55" s="72">
        <f t="shared" si="13"/>
        <v>10108</v>
      </c>
      <c r="AX55" s="72">
        <f t="shared" si="13"/>
        <v>11394</v>
      </c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24"/>
      <c r="CI55" s="24"/>
      <c r="CJ55" s="24"/>
      <c r="CK55" s="24"/>
      <c r="CL55" s="24"/>
      <c r="CM55" s="24"/>
      <c r="CN55" s="24"/>
      <c r="CO55" s="24"/>
      <c r="CP55" s="24"/>
      <c r="CQ55" s="24"/>
    </row>
    <row r="56" spans="1:95" s="5" customFormat="1" ht="24.95" customHeight="1" x14ac:dyDescent="0.3">
      <c r="A56" s="54" t="s">
        <v>2</v>
      </c>
      <c r="B56" s="52">
        <v>202</v>
      </c>
      <c r="C56" s="52">
        <v>192</v>
      </c>
      <c r="D56" s="52">
        <v>221</v>
      </c>
      <c r="E56" s="52">
        <v>235</v>
      </c>
      <c r="F56" s="52">
        <v>255</v>
      </c>
      <c r="G56" s="52">
        <v>305</v>
      </c>
      <c r="H56" s="52">
        <v>343</v>
      </c>
      <c r="I56" s="52">
        <v>379</v>
      </c>
      <c r="J56" s="52">
        <v>406</v>
      </c>
      <c r="K56" s="52">
        <v>496</v>
      </c>
      <c r="L56" s="52">
        <v>499</v>
      </c>
      <c r="M56" s="52">
        <v>563</v>
      </c>
      <c r="N56" s="52">
        <v>635</v>
      </c>
      <c r="O56" s="52">
        <v>653</v>
      </c>
      <c r="P56" s="52">
        <v>694</v>
      </c>
      <c r="Q56" s="52">
        <v>703</v>
      </c>
      <c r="R56" s="52">
        <v>674</v>
      </c>
      <c r="S56" s="52">
        <v>677</v>
      </c>
      <c r="T56" s="52">
        <v>668</v>
      </c>
      <c r="U56" s="52">
        <v>671</v>
      </c>
      <c r="V56" s="52">
        <v>707</v>
      </c>
      <c r="W56" s="52">
        <v>727</v>
      </c>
      <c r="X56" s="52">
        <v>773</v>
      </c>
      <c r="Y56" s="55">
        <v>830</v>
      </c>
      <c r="Z56" s="55">
        <v>843</v>
      </c>
      <c r="AA56" s="55">
        <v>877</v>
      </c>
      <c r="AB56" s="55">
        <v>958</v>
      </c>
      <c r="AC56" s="55">
        <v>956</v>
      </c>
      <c r="AD56" s="55">
        <v>1026</v>
      </c>
      <c r="AE56" s="55">
        <v>1097</v>
      </c>
      <c r="AF56" s="55">
        <v>1095</v>
      </c>
      <c r="AG56" s="55">
        <v>1064</v>
      </c>
      <c r="AH56" s="55">
        <v>1087</v>
      </c>
      <c r="AI56" s="55">
        <v>1073</v>
      </c>
      <c r="AJ56" s="55">
        <v>1060</v>
      </c>
      <c r="AK56" s="55">
        <v>992</v>
      </c>
      <c r="AL56" s="55">
        <v>952</v>
      </c>
      <c r="AM56" s="55">
        <v>1014</v>
      </c>
      <c r="AN56" s="55">
        <v>1068</v>
      </c>
      <c r="AO56" s="55">
        <v>1092</v>
      </c>
      <c r="AP56" s="55">
        <v>1163</v>
      </c>
      <c r="AQ56" s="55">
        <v>1192</v>
      </c>
      <c r="AR56" s="55">
        <v>1233</v>
      </c>
      <c r="AS56" s="55">
        <v>1268</v>
      </c>
      <c r="AT56" s="55">
        <v>1387</v>
      </c>
      <c r="AU56" s="55">
        <v>1561</v>
      </c>
      <c r="AV56" s="55">
        <v>1717</v>
      </c>
      <c r="AW56" s="55">
        <v>2430</v>
      </c>
      <c r="AX56" s="55">
        <v>2809</v>
      </c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8"/>
      <c r="CI56" s="28"/>
      <c r="CJ56" s="28"/>
      <c r="CK56" s="28"/>
      <c r="CL56" s="28"/>
      <c r="CM56" s="28"/>
      <c r="CN56" s="28"/>
      <c r="CO56" s="28"/>
      <c r="CP56" s="28"/>
      <c r="CQ56" s="28"/>
    </row>
    <row r="57" spans="1:95" s="5" customFormat="1" ht="24.95" customHeight="1" x14ac:dyDescent="0.3">
      <c r="A57" s="54" t="s">
        <v>3</v>
      </c>
      <c r="B57" s="52">
        <v>356</v>
      </c>
      <c r="C57" s="52">
        <v>389</v>
      </c>
      <c r="D57" s="52">
        <v>383</v>
      </c>
      <c r="E57" s="52">
        <v>482</v>
      </c>
      <c r="F57" s="52">
        <v>540</v>
      </c>
      <c r="G57" s="52">
        <v>621</v>
      </c>
      <c r="H57" s="52">
        <v>664</v>
      </c>
      <c r="I57" s="52">
        <v>723</v>
      </c>
      <c r="J57" s="52">
        <v>807</v>
      </c>
      <c r="K57" s="52">
        <v>946</v>
      </c>
      <c r="L57" s="52">
        <v>1061</v>
      </c>
      <c r="M57" s="52">
        <v>1186</v>
      </c>
      <c r="N57" s="52">
        <v>1397</v>
      </c>
      <c r="O57" s="52">
        <v>1538</v>
      </c>
      <c r="P57" s="52">
        <v>1625</v>
      </c>
      <c r="Q57" s="52">
        <v>1702</v>
      </c>
      <c r="R57" s="52">
        <v>1721</v>
      </c>
      <c r="S57" s="52">
        <v>1708</v>
      </c>
      <c r="T57" s="52">
        <v>1828</v>
      </c>
      <c r="U57" s="52">
        <v>1900</v>
      </c>
      <c r="V57" s="52">
        <v>2037</v>
      </c>
      <c r="W57" s="52">
        <v>2121</v>
      </c>
      <c r="X57" s="52">
        <v>2346</v>
      </c>
      <c r="Y57" s="55">
        <v>2449</v>
      </c>
      <c r="Z57" s="55">
        <v>2550</v>
      </c>
      <c r="AA57" s="55">
        <v>2662</v>
      </c>
      <c r="AB57" s="55">
        <v>2787</v>
      </c>
      <c r="AC57" s="55">
        <v>2857</v>
      </c>
      <c r="AD57" s="55">
        <v>2972</v>
      </c>
      <c r="AE57" s="55">
        <v>3063</v>
      </c>
      <c r="AF57" s="55">
        <v>3189</v>
      </c>
      <c r="AG57" s="55">
        <v>3292</v>
      </c>
      <c r="AH57" s="55">
        <v>3375</v>
      </c>
      <c r="AI57" s="55">
        <v>3436</v>
      </c>
      <c r="AJ57" s="55">
        <v>3548</v>
      </c>
      <c r="AK57" s="55">
        <v>3427</v>
      </c>
      <c r="AL57" s="55">
        <v>3346</v>
      </c>
      <c r="AM57" s="55">
        <v>3417</v>
      </c>
      <c r="AN57" s="55">
        <v>3604</v>
      </c>
      <c r="AO57" s="55">
        <v>4080</v>
      </c>
      <c r="AP57" s="55">
        <v>3821</v>
      </c>
      <c r="AQ57" s="55">
        <v>4165</v>
      </c>
      <c r="AR57" s="55">
        <v>4378</v>
      </c>
      <c r="AS57" s="55">
        <v>4568</v>
      </c>
      <c r="AT57" s="55">
        <v>5032</v>
      </c>
      <c r="AU57" s="55">
        <v>5864</v>
      </c>
      <c r="AV57" s="55">
        <v>6449</v>
      </c>
      <c r="AW57" s="55">
        <v>7678</v>
      </c>
      <c r="AX57" s="55">
        <v>8585</v>
      </c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28"/>
      <c r="CI57" s="28"/>
      <c r="CJ57" s="28"/>
      <c r="CK57" s="28"/>
      <c r="CL57" s="28"/>
      <c r="CM57" s="28"/>
      <c r="CN57" s="28"/>
      <c r="CO57" s="28"/>
      <c r="CP57" s="28"/>
      <c r="CQ57" s="28"/>
    </row>
    <row r="58" spans="1:95" s="10" customFormat="1" ht="24.95" customHeight="1" x14ac:dyDescent="0.2">
      <c r="A58" s="51" t="s">
        <v>5</v>
      </c>
      <c r="B58" s="67">
        <f>SUM(B59,B60)</f>
        <v>1987</v>
      </c>
      <c r="C58" s="67">
        <f t="shared" ref="C58:AX58" si="14">SUM(C59,C60)</f>
        <v>1924</v>
      </c>
      <c r="D58" s="67">
        <f t="shared" si="14"/>
        <v>1948</v>
      </c>
      <c r="E58" s="67">
        <f t="shared" si="14"/>
        <v>1454</v>
      </c>
      <c r="F58" s="67">
        <f t="shared" si="14"/>
        <v>1312</v>
      </c>
      <c r="G58" s="67">
        <f t="shared" si="14"/>
        <v>1128</v>
      </c>
      <c r="H58" s="67">
        <f t="shared" si="14"/>
        <v>928</v>
      </c>
      <c r="I58" s="67">
        <f t="shared" si="14"/>
        <v>877</v>
      </c>
      <c r="J58" s="67">
        <f t="shared" si="14"/>
        <v>677</v>
      </c>
      <c r="K58" s="67">
        <f t="shared" si="14"/>
        <v>433</v>
      </c>
      <c r="L58" s="67">
        <f t="shared" si="14"/>
        <v>401</v>
      </c>
      <c r="M58" s="67">
        <f t="shared" si="14"/>
        <v>391</v>
      </c>
      <c r="N58" s="67">
        <f t="shared" si="14"/>
        <v>385</v>
      </c>
      <c r="O58" s="67">
        <f t="shared" si="14"/>
        <v>199</v>
      </c>
      <c r="P58" s="67">
        <f t="shared" si="14"/>
        <v>225</v>
      </c>
      <c r="Q58" s="67">
        <f t="shared" si="14"/>
        <v>186</v>
      </c>
      <c r="R58" s="67">
        <f t="shared" si="14"/>
        <v>244</v>
      </c>
      <c r="S58" s="67">
        <f t="shared" si="14"/>
        <v>331</v>
      </c>
      <c r="T58" s="67">
        <f t="shared" si="14"/>
        <v>582</v>
      </c>
      <c r="U58" s="67">
        <f t="shared" si="14"/>
        <v>480</v>
      </c>
      <c r="V58" s="67">
        <f t="shared" si="14"/>
        <v>605</v>
      </c>
      <c r="W58" s="67">
        <f t="shared" si="14"/>
        <v>779</v>
      </c>
      <c r="X58" s="67">
        <f t="shared" si="14"/>
        <v>732</v>
      </c>
      <c r="Y58" s="72">
        <f t="shared" si="14"/>
        <v>709</v>
      </c>
      <c r="Z58" s="72">
        <f t="shared" si="14"/>
        <v>699</v>
      </c>
      <c r="AA58" s="72">
        <f t="shared" si="14"/>
        <v>601</v>
      </c>
      <c r="AB58" s="72">
        <f t="shared" si="14"/>
        <v>505</v>
      </c>
      <c r="AC58" s="72">
        <f t="shared" si="14"/>
        <v>444</v>
      </c>
      <c r="AD58" s="72">
        <f t="shared" si="14"/>
        <v>338</v>
      </c>
      <c r="AE58" s="72">
        <f t="shared" si="14"/>
        <v>268</v>
      </c>
      <c r="AF58" s="72">
        <f t="shared" si="14"/>
        <v>173</v>
      </c>
      <c r="AG58" s="72">
        <f t="shared" si="14"/>
        <v>108</v>
      </c>
      <c r="AH58" s="72">
        <f t="shared" si="14"/>
        <v>64</v>
      </c>
      <c r="AI58" s="72">
        <f t="shared" si="14"/>
        <v>46</v>
      </c>
      <c r="AJ58" s="72">
        <f t="shared" si="14"/>
        <v>23</v>
      </c>
      <c r="AK58" s="72">
        <f t="shared" si="14"/>
        <v>8</v>
      </c>
      <c r="AL58" s="72">
        <f t="shared" si="14"/>
        <v>4</v>
      </c>
      <c r="AM58" s="72">
        <f t="shared" si="14"/>
        <v>0</v>
      </c>
      <c r="AN58" s="72">
        <f t="shared" si="14"/>
        <v>0</v>
      </c>
      <c r="AO58" s="72">
        <f t="shared" si="14"/>
        <v>0</v>
      </c>
      <c r="AP58" s="72">
        <f t="shared" si="14"/>
        <v>0</v>
      </c>
      <c r="AQ58" s="72">
        <f t="shared" si="14"/>
        <v>0</v>
      </c>
      <c r="AR58" s="72">
        <f t="shared" si="14"/>
        <v>0</v>
      </c>
      <c r="AS58" s="72">
        <f t="shared" si="14"/>
        <v>0</v>
      </c>
      <c r="AT58" s="72">
        <f t="shared" si="14"/>
        <v>0</v>
      </c>
      <c r="AU58" s="72">
        <f t="shared" si="14"/>
        <v>0</v>
      </c>
      <c r="AV58" s="72">
        <f t="shared" si="14"/>
        <v>0</v>
      </c>
      <c r="AW58" s="72">
        <f t="shared" si="14"/>
        <v>0</v>
      </c>
      <c r="AX58" s="72">
        <f t="shared" si="14"/>
        <v>0</v>
      </c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24"/>
      <c r="CI58" s="24"/>
      <c r="CJ58" s="24"/>
      <c r="CK58" s="24"/>
      <c r="CL58" s="24"/>
      <c r="CM58" s="24"/>
      <c r="CN58" s="24"/>
      <c r="CO58" s="24"/>
      <c r="CP58" s="24"/>
      <c r="CQ58" s="24"/>
    </row>
    <row r="59" spans="1:95" s="5" customFormat="1" ht="24.95" customHeight="1" x14ac:dyDescent="0.3">
      <c r="A59" s="54" t="s">
        <v>2</v>
      </c>
      <c r="B59" s="52">
        <v>1978</v>
      </c>
      <c r="C59" s="52">
        <v>1914</v>
      </c>
      <c r="D59" s="52">
        <f>1743+196</f>
        <v>1939</v>
      </c>
      <c r="E59" s="52">
        <f>1246+202</f>
        <v>1448</v>
      </c>
      <c r="F59" s="52">
        <f>1124+183</f>
        <v>1307</v>
      </c>
      <c r="G59" s="52">
        <f>940+184</f>
        <v>1124</v>
      </c>
      <c r="H59" s="52">
        <f>161+761</f>
        <v>922</v>
      </c>
      <c r="I59" s="52">
        <f>733+135</f>
        <v>868</v>
      </c>
      <c r="J59" s="52">
        <f>556+118</f>
        <v>674</v>
      </c>
      <c r="K59" s="52">
        <f>419+11</f>
        <v>430</v>
      </c>
      <c r="L59" s="52">
        <f>104+291</f>
        <v>395</v>
      </c>
      <c r="M59" s="52">
        <f>102+281</f>
        <v>383</v>
      </c>
      <c r="N59" s="52">
        <f>108+268</f>
        <v>376</v>
      </c>
      <c r="O59" s="52">
        <f>111+85</f>
        <v>196</v>
      </c>
      <c r="P59" s="52">
        <f>132+90</f>
        <v>222</v>
      </c>
      <c r="Q59" s="52">
        <f>131+53</f>
        <v>184</v>
      </c>
      <c r="R59" s="52">
        <f>138+104</f>
        <v>242</v>
      </c>
      <c r="S59" s="52">
        <f>152+176</f>
        <v>328</v>
      </c>
      <c r="T59" s="52">
        <f>143+436</f>
        <v>579</v>
      </c>
      <c r="U59" s="52">
        <f>114+364</f>
        <v>478</v>
      </c>
      <c r="V59" s="52">
        <f>102+499</f>
        <v>601</v>
      </c>
      <c r="W59" s="52">
        <f>113+658</f>
        <v>771</v>
      </c>
      <c r="X59" s="52">
        <f>106+622</f>
        <v>728</v>
      </c>
      <c r="Y59" s="55">
        <f>83+624</f>
        <v>707</v>
      </c>
      <c r="Z59" s="55">
        <f>88+610</f>
        <v>698</v>
      </c>
      <c r="AA59" s="55">
        <v>601</v>
      </c>
      <c r="AB59" s="55">
        <v>505</v>
      </c>
      <c r="AC59" s="55">
        <v>444</v>
      </c>
      <c r="AD59" s="55">
        <v>338</v>
      </c>
      <c r="AE59" s="55">
        <v>268</v>
      </c>
      <c r="AF59" s="55">
        <v>173</v>
      </c>
      <c r="AG59" s="55">
        <v>108</v>
      </c>
      <c r="AH59" s="55">
        <v>64</v>
      </c>
      <c r="AI59" s="55">
        <v>46</v>
      </c>
      <c r="AJ59" s="55">
        <v>23</v>
      </c>
      <c r="AK59" s="55">
        <v>8</v>
      </c>
      <c r="AL59" s="55">
        <v>4</v>
      </c>
      <c r="AM59" s="55">
        <v>0</v>
      </c>
      <c r="AN59" s="55">
        <v>0</v>
      </c>
      <c r="AO59" s="55">
        <v>0</v>
      </c>
      <c r="AP59" s="55">
        <v>0</v>
      </c>
      <c r="AQ59" s="55">
        <v>0</v>
      </c>
      <c r="AR59" s="55">
        <v>0</v>
      </c>
      <c r="AS59" s="55">
        <v>0</v>
      </c>
      <c r="AT59" s="55">
        <v>0</v>
      </c>
      <c r="AU59" s="55">
        <v>0</v>
      </c>
      <c r="AV59" s="55">
        <v>0</v>
      </c>
      <c r="AW59" s="55">
        <v>0</v>
      </c>
      <c r="AX59" s="55">
        <v>0</v>
      </c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8"/>
      <c r="CI59" s="28"/>
      <c r="CJ59" s="28"/>
      <c r="CK59" s="28"/>
      <c r="CL59" s="28"/>
      <c r="CM59" s="28"/>
      <c r="CN59" s="28"/>
      <c r="CO59" s="28"/>
      <c r="CP59" s="28"/>
      <c r="CQ59" s="28"/>
    </row>
    <row r="60" spans="1:95" s="5" customFormat="1" ht="24.95" customHeight="1" thickBot="1" x14ac:dyDescent="0.35">
      <c r="A60" s="54" t="s">
        <v>3</v>
      </c>
      <c r="B60" s="57">
        <v>9</v>
      </c>
      <c r="C60" s="57">
        <v>10</v>
      </c>
      <c r="D60" s="57">
        <v>9</v>
      </c>
      <c r="E60" s="57">
        <f>2+4</f>
        <v>6</v>
      </c>
      <c r="F60" s="57">
        <f>1+4</f>
        <v>5</v>
      </c>
      <c r="G60" s="57">
        <f>0+4</f>
        <v>4</v>
      </c>
      <c r="H60" s="57">
        <f>2+4</f>
        <v>6</v>
      </c>
      <c r="I60" s="57">
        <f>7+2</f>
        <v>9</v>
      </c>
      <c r="J60" s="57">
        <f>2+1</f>
        <v>3</v>
      </c>
      <c r="K60" s="57">
        <f>2+1</f>
        <v>3</v>
      </c>
      <c r="L60" s="57">
        <f>2+4</f>
        <v>6</v>
      </c>
      <c r="M60" s="57">
        <f>4+4</f>
        <v>8</v>
      </c>
      <c r="N60" s="57">
        <v>9</v>
      </c>
      <c r="O60" s="57">
        <f>2+1</f>
        <v>3</v>
      </c>
      <c r="P60" s="57">
        <f>2+1</f>
        <v>3</v>
      </c>
      <c r="Q60" s="57">
        <f>2</f>
        <v>2</v>
      </c>
      <c r="R60" s="57">
        <f>2+0</f>
        <v>2</v>
      </c>
      <c r="S60" s="57">
        <v>3</v>
      </c>
      <c r="T60" s="57">
        <f>3+0</f>
        <v>3</v>
      </c>
      <c r="U60" s="57">
        <f>2</f>
        <v>2</v>
      </c>
      <c r="V60" s="57">
        <f>4+0</f>
        <v>4</v>
      </c>
      <c r="W60" s="57">
        <f>4+4</f>
        <v>8</v>
      </c>
      <c r="X60" s="57">
        <f>3+1</f>
        <v>4</v>
      </c>
      <c r="Y60" s="58">
        <f>2</f>
        <v>2</v>
      </c>
      <c r="Z60" s="58">
        <f>1+0</f>
        <v>1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28"/>
      <c r="CI60" s="28"/>
      <c r="CJ60" s="28"/>
      <c r="CK60" s="28"/>
      <c r="CL60" s="28"/>
      <c r="CM60" s="28"/>
      <c r="CN60" s="28"/>
      <c r="CO60" s="28"/>
      <c r="CP60" s="28"/>
      <c r="CQ60" s="28"/>
    </row>
    <row r="61" spans="1:95" s="5" customFormat="1" ht="24.95" customHeight="1" x14ac:dyDescent="0.3">
      <c r="A61" s="62" t="s">
        <v>60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28"/>
      <c r="CI61" s="28"/>
      <c r="CJ61" s="28"/>
      <c r="CK61" s="28"/>
      <c r="CL61" s="28"/>
      <c r="CM61" s="28"/>
      <c r="CN61" s="28"/>
      <c r="CO61" s="28"/>
      <c r="CP61" s="28"/>
      <c r="CQ61" s="28"/>
    </row>
    <row r="62" spans="1:95" s="10" customFormat="1" ht="24.95" customHeight="1" x14ac:dyDescent="0.3">
      <c r="A62" s="61" t="s">
        <v>1</v>
      </c>
      <c r="B62" s="67">
        <f>SUM(B63,B64)</f>
        <v>6022</v>
      </c>
      <c r="C62" s="67">
        <f t="shared" ref="C62:AX62" si="15">SUM(C63,C64)</f>
        <v>6488</v>
      </c>
      <c r="D62" s="67">
        <f t="shared" si="15"/>
        <v>7148</v>
      </c>
      <c r="E62" s="67">
        <f t="shared" si="15"/>
        <v>7698</v>
      </c>
      <c r="F62" s="67">
        <f t="shared" si="15"/>
        <v>8027</v>
      </c>
      <c r="G62" s="67">
        <f t="shared" si="15"/>
        <v>8680</v>
      </c>
      <c r="H62" s="67">
        <f t="shared" si="15"/>
        <v>8972</v>
      </c>
      <c r="I62" s="67">
        <f t="shared" si="15"/>
        <v>9244</v>
      </c>
      <c r="J62" s="67">
        <f t="shared" si="15"/>
        <v>9589</v>
      </c>
      <c r="K62" s="67">
        <f t="shared" si="15"/>
        <v>10458</v>
      </c>
      <c r="L62" s="67">
        <f t="shared" si="15"/>
        <v>10609</v>
      </c>
      <c r="M62" s="67">
        <f t="shared" si="15"/>
        <v>10260</v>
      </c>
      <c r="N62" s="67">
        <f t="shared" si="15"/>
        <v>10045</v>
      </c>
      <c r="O62" s="67">
        <f t="shared" si="15"/>
        <v>9929</v>
      </c>
      <c r="P62" s="67">
        <f t="shared" si="15"/>
        <v>9754</v>
      </c>
      <c r="Q62" s="67">
        <f t="shared" si="15"/>
        <v>9782</v>
      </c>
      <c r="R62" s="67">
        <f t="shared" si="15"/>
        <v>10487</v>
      </c>
      <c r="S62" s="67">
        <f t="shared" si="15"/>
        <v>11156</v>
      </c>
      <c r="T62" s="67">
        <f t="shared" si="15"/>
        <v>11708</v>
      </c>
      <c r="U62" s="67">
        <f t="shared" si="15"/>
        <v>12145</v>
      </c>
      <c r="V62" s="67">
        <f t="shared" si="15"/>
        <v>12703</v>
      </c>
      <c r="W62" s="67">
        <f t="shared" si="15"/>
        <v>12745</v>
      </c>
      <c r="X62" s="67">
        <f t="shared" si="15"/>
        <v>13436</v>
      </c>
      <c r="Y62" s="72">
        <f t="shared" si="15"/>
        <v>13507</v>
      </c>
      <c r="Z62" s="72">
        <f t="shared" si="15"/>
        <v>13936</v>
      </c>
      <c r="AA62" s="72">
        <f t="shared" si="15"/>
        <v>14330</v>
      </c>
      <c r="AB62" s="72">
        <f t="shared" si="15"/>
        <v>14982</v>
      </c>
      <c r="AC62" s="72">
        <f t="shared" si="15"/>
        <v>15555</v>
      </c>
      <c r="AD62" s="72">
        <f t="shared" si="15"/>
        <v>15901</v>
      </c>
      <c r="AE62" s="72">
        <f t="shared" si="15"/>
        <v>16279</v>
      </c>
      <c r="AF62" s="72">
        <f t="shared" si="15"/>
        <v>16568</v>
      </c>
      <c r="AG62" s="72">
        <f t="shared" si="15"/>
        <v>16694</v>
      </c>
      <c r="AH62" s="72">
        <f t="shared" si="15"/>
        <v>17040</v>
      </c>
      <c r="AI62" s="72">
        <f t="shared" si="15"/>
        <v>17550</v>
      </c>
      <c r="AJ62" s="72">
        <f t="shared" si="15"/>
        <v>17893</v>
      </c>
      <c r="AK62" s="72">
        <f t="shared" si="15"/>
        <v>17946</v>
      </c>
      <c r="AL62" s="72">
        <f t="shared" si="15"/>
        <v>18060</v>
      </c>
      <c r="AM62" s="72">
        <f t="shared" si="15"/>
        <v>18426</v>
      </c>
      <c r="AN62" s="72">
        <f t="shared" si="15"/>
        <v>19231</v>
      </c>
      <c r="AO62" s="72">
        <f t="shared" si="15"/>
        <v>19599</v>
      </c>
      <c r="AP62" s="72">
        <f t="shared" si="15"/>
        <v>20264</v>
      </c>
      <c r="AQ62" s="72">
        <f t="shared" si="15"/>
        <v>20777</v>
      </c>
      <c r="AR62" s="72">
        <f t="shared" si="15"/>
        <v>21837</v>
      </c>
      <c r="AS62" s="72">
        <f t="shared" si="15"/>
        <v>22817</v>
      </c>
      <c r="AT62" s="72">
        <f t="shared" si="15"/>
        <v>23900</v>
      </c>
      <c r="AU62" s="72">
        <f t="shared" si="15"/>
        <v>24840</v>
      </c>
      <c r="AV62" s="72">
        <f t="shared" si="15"/>
        <v>25820</v>
      </c>
      <c r="AW62" s="72">
        <f t="shared" si="15"/>
        <v>24124</v>
      </c>
      <c r="AX62" s="72">
        <f t="shared" si="15"/>
        <v>23601</v>
      </c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24"/>
      <c r="CI62" s="24"/>
      <c r="CJ62" s="24"/>
      <c r="CK62" s="24"/>
      <c r="CL62" s="24"/>
      <c r="CM62" s="24"/>
      <c r="CN62" s="24"/>
      <c r="CO62" s="24"/>
      <c r="CP62" s="24"/>
      <c r="CQ62" s="24"/>
    </row>
    <row r="63" spans="1:95" s="5" customFormat="1" ht="24.95" customHeight="1" x14ac:dyDescent="0.3">
      <c r="A63" s="54" t="s">
        <v>2</v>
      </c>
      <c r="B63" s="52">
        <v>3797</v>
      </c>
      <c r="C63" s="52">
        <v>4012</v>
      </c>
      <c r="D63" s="52">
        <v>4556</v>
      </c>
      <c r="E63" s="52">
        <v>4861</v>
      </c>
      <c r="F63" s="52">
        <v>5001</v>
      </c>
      <c r="G63" s="52">
        <v>5283</v>
      </c>
      <c r="H63" s="52">
        <v>5476</v>
      </c>
      <c r="I63" s="52">
        <v>5671</v>
      </c>
      <c r="J63" s="52">
        <v>5819</v>
      </c>
      <c r="K63" s="52">
        <v>6295</v>
      </c>
      <c r="L63" s="52">
        <v>6335</v>
      </c>
      <c r="M63" s="52">
        <v>6150</v>
      </c>
      <c r="N63" s="52">
        <v>5972</v>
      </c>
      <c r="O63" s="52">
        <v>5981</v>
      </c>
      <c r="P63" s="52">
        <v>5898</v>
      </c>
      <c r="Q63" s="52">
        <v>5840</v>
      </c>
      <c r="R63" s="52">
        <v>6290</v>
      </c>
      <c r="S63" s="52">
        <v>6695</v>
      </c>
      <c r="T63" s="52">
        <v>7016</v>
      </c>
      <c r="U63" s="52">
        <v>7287</v>
      </c>
      <c r="V63" s="52">
        <v>7623</v>
      </c>
      <c r="W63" s="53">
        <v>7573</v>
      </c>
      <c r="X63" s="52">
        <v>7967</v>
      </c>
      <c r="Y63" s="55">
        <v>7921</v>
      </c>
      <c r="Z63" s="55">
        <f>8020</f>
        <v>8020</v>
      </c>
      <c r="AA63" s="55">
        <v>8217</v>
      </c>
      <c r="AB63" s="55">
        <v>8542</v>
      </c>
      <c r="AC63" s="55">
        <v>8776</v>
      </c>
      <c r="AD63" s="55">
        <v>8909</v>
      </c>
      <c r="AE63" s="55">
        <v>9063</v>
      </c>
      <c r="AF63" s="55">
        <v>9186</v>
      </c>
      <c r="AG63" s="55">
        <v>9124</v>
      </c>
      <c r="AH63" s="55">
        <v>9319</v>
      </c>
      <c r="AI63" s="55">
        <v>9509</v>
      </c>
      <c r="AJ63" s="55">
        <v>9697</v>
      </c>
      <c r="AK63" s="55">
        <v>9645</v>
      </c>
      <c r="AL63" s="55">
        <v>9585</v>
      </c>
      <c r="AM63" s="55">
        <v>9625</v>
      </c>
      <c r="AN63" s="55">
        <v>9808</v>
      </c>
      <c r="AO63" s="55">
        <v>9665</v>
      </c>
      <c r="AP63" s="55">
        <v>9879</v>
      </c>
      <c r="AQ63" s="55">
        <v>10063</v>
      </c>
      <c r="AR63" s="55">
        <v>10492</v>
      </c>
      <c r="AS63" s="55">
        <v>10875</v>
      </c>
      <c r="AT63" s="55">
        <v>11327</v>
      </c>
      <c r="AU63" s="55">
        <v>11746</v>
      </c>
      <c r="AV63" s="55">
        <v>12137</v>
      </c>
      <c r="AW63" s="55">
        <v>11304</v>
      </c>
      <c r="AX63" s="55">
        <v>11119</v>
      </c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28"/>
      <c r="CI63" s="28"/>
      <c r="CJ63" s="28"/>
      <c r="CK63" s="28"/>
      <c r="CL63" s="28"/>
      <c r="CM63" s="28"/>
      <c r="CN63" s="28"/>
      <c r="CO63" s="28"/>
      <c r="CP63" s="28"/>
      <c r="CQ63" s="28"/>
    </row>
    <row r="64" spans="1:95" s="5" customFormat="1" ht="24.95" customHeight="1" x14ac:dyDescent="0.3">
      <c r="A64" s="54" t="s">
        <v>3</v>
      </c>
      <c r="B64" s="52">
        <v>2225</v>
      </c>
      <c r="C64" s="52">
        <v>2476</v>
      </c>
      <c r="D64" s="52">
        <v>2592</v>
      </c>
      <c r="E64" s="52">
        <v>2837</v>
      </c>
      <c r="F64" s="52">
        <v>3026</v>
      </c>
      <c r="G64" s="52">
        <v>3397</v>
      </c>
      <c r="H64" s="52">
        <v>3496</v>
      </c>
      <c r="I64" s="52">
        <v>3573</v>
      </c>
      <c r="J64" s="52">
        <v>3770</v>
      </c>
      <c r="K64" s="52">
        <v>4163</v>
      </c>
      <c r="L64" s="52">
        <v>4274</v>
      </c>
      <c r="M64" s="52">
        <v>4110</v>
      </c>
      <c r="N64" s="52">
        <v>4073</v>
      </c>
      <c r="O64" s="52">
        <v>3948</v>
      </c>
      <c r="P64" s="52">
        <v>3856</v>
      </c>
      <c r="Q64" s="52">
        <v>3942</v>
      </c>
      <c r="R64" s="52">
        <v>4197</v>
      </c>
      <c r="S64" s="52">
        <v>4461</v>
      </c>
      <c r="T64" s="52">
        <v>4692</v>
      </c>
      <c r="U64" s="52">
        <v>4858</v>
      </c>
      <c r="V64" s="52">
        <v>5080</v>
      </c>
      <c r="W64" s="52">
        <v>5172</v>
      </c>
      <c r="X64" s="52">
        <v>5469</v>
      </c>
      <c r="Y64" s="55">
        <v>5586</v>
      </c>
      <c r="Z64" s="55">
        <v>5916</v>
      </c>
      <c r="AA64" s="55">
        <v>6113</v>
      </c>
      <c r="AB64" s="55">
        <v>6440</v>
      </c>
      <c r="AC64" s="55">
        <v>6779</v>
      </c>
      <c r="AD64" s="55">
        <v>6992</v>
      </c>
      <c r="AE64" s="55">
        <v>7216</v>
      </c>
      <c r="AF64" s="55">
        <v>7382</v>
      </c>
      <c r="AG64" s="55">
        <v>7570</v>
      </c>
      <c r="AH64" s="55">
        <v>7721</v>
      </c>
      <c r="AI64" s="55">
        <v>8041</v>
      </c>
      <c r="AJ64" s="55">
        <v>8196</v>
      </c>
      <c r="AK64" s="55">
        <v>8301</v>
      </c>
      <c r="AL64" s="55">
        <v>8475</v>
      </c>
      <c r="AM64" s="55">
        <v>8801</v>
      </c>
      <c r="AN64" s="55">
        <v>9423</v>
      </c>
      <c r="AO64" s="55">
        <v>9934</v>
      </c>
      <c r="AP64" s="55">
        <v>10385</v>
      </c>
      <c r="AQ64" s="55">
        <v>10714</v>
      </c>
      <c r="AR64" s="55">
        <v>11345</v>
      </c>
      <c r="AS64" s="55">
        <v>11942</v>
      </c>
      <c r="AT64" s="55">
        <v>12573</v>
      </c>
      <c r="AU64" s="55">
        <v>13094</v>
      </c>
      <c r="AV64" s="55">
        <v>13683</v>
      </c>
      <c r="AW64" s="55">
        <v>12820</v>
      </c>
      <c r="AX64" s="55">
        <v>12482</v>
      </c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28"/>
      <c r="CI64" s="28"/>
      <c r="CJ64" s="28"/>
      <c r="CK64" s="28"/>
      <c r="CL64" s="28"/>
      <c r="CM64" s="28"/>
      <c r="CN64" s="28"/>
      <c r="CO64" s="28"/>
      <c r="CP64" s="28"/>
      <c r="CQ64" s="28"/>
    </row>
    <row r="65" spans="1:95" s="10" customFormat="1" ht="24.95" customHeight="1" x14ac:dyDescent="0.3">
      <c r="A65" s="61" t="s">
        <v>4</v>
      </c>
      <c r="B65" s="67">
        <f>SUM(B66,B67)</f>
        <v>892</v>
      </c>
      <c r="C65" s="67">
        <f t="shared" ref="C65:AX65" si="16">SUM(C66,C67)</f>
        <v>927</v>
      </c>
      <c r="D65" s="67">
        <f t="shared" si="16"/>
        <v>1030</v>
      </c>
      <c r="E65" s="67">
        <f t="shared" si="16"/>
        <v>1051</v>
      </c>
      <c r="F65" s="67">
        <f t="shared" si="16"/>
        <v>1098</v>
      </c>
      <c r="G65" s="67">
        <f t="shared" si="16"/>
        <v>1196</v>
      </c>
      <c r="H65" s="67">
        <f t="shared" si="16"/>
        <v>1310</v>
      </c>
      <c r="I65" s="67">
        <f t="shared" si="16"/>
        <v>1433</v>
      </c>
      <c r="J65" s="67">
        <f t="shared" si="16"/>
        <v>1579</v>
      </c>
      <c r="K65" s="67">
        <f t="shared" si="16"/>
        <v>1667</v>
      </c>
      <c r="L65" s="67">
        <f t="shared" si="16"/>
        <v>1929</v>
      </c>
      <c r="M65" s="67">
        <f t="shared" si="16"/>
        <v>2050</v>
      </c>
      <c r="N65" s="67">
        <f t="shared" si="16"/>
        <v>2139</v>
      </c>
      <c r="O65" s="67">
        <f t="shared" si="16"/>
        <v>2230</v>
      </c>
      <c r="P65" s="67">
        <f t="shared" si="16"/>
        <v>2373</v>
      </c>
      <c r="Q65" s="67">
        <f t="shared" si="16"/>
        <v>2485</v>
      </c>
      <c r="R65" s="67">
        <f t="shared" si="16"/>
        <v>2795</v>
      </c>
      <c r="S65" s="67">
        <f t="shared" si="16"/>
        <v>2993</v>
      </c>
      <c r="T65" s="67">
        <f t="shared" si="16"/>
        <v>3289</v>
      </c>
      <c r="U65" s="67">
        <f t="shared" si="16"/>
        <v>3519</v>
      </c>
      <c r="V65" s="67">
        <f t="shared" si="16"/>
        <v>3737</v>
      </c>
      <c r="W65" s="67">
        <f t="shared" si="16"/>
        <v>3773</v>
      </c>
      <c r="X65" s="67">
        <f t="shared" si="16"/>
        <v>4013</v>
      </c>
      <c r="Y65" s="72">
        <f t="shared" si="16"/>
        <v>4142</v>
      </c>
      <c r="Z65" s="72">
        <f t="shared" si="16"/>
        <v>4306</v>
      </c>
      <c r="AA65" s="72">
        <f t="shared" si="16"/>
        <v>4459</v>
      </c>
      <c r="AB65" s="72">
        <f t="shared" si="16"/>
        <v>4812</v>
      </c>
      <c r="AC65" s="72">
        <f t="shared" si="16"/>
        <v>5082</v>
      </c>
      <c r="AD65" s="72">
        <f t="shared" si="16"/>
        <v>5272</v>
      </c>
      <c r="AE65" s="72">
        <f t="shared" si="16"/>
        <v>5540</v>
      </c>
      <c r="AF65" s="72">
        <f t="shared" si="16"/>
        <v>5705</v>
      </c>
      <c r="AG65" s="72">
        <f t="shared" si="16"/>
        <v>5907</v>
      </c>
      <c r="AH65" s="72">
        <f t="shared" si="16"/>
        <v>6197</v>
      </c>
      <c r="AI65" s="72">
        <f t="shared" si="16"/>
        <v>6416</v>
      </c>
      <c r="AJ65" s="72">
        <f t="shared" si="16"/>
        <v>6645</v>
      </c>
      <c r="AK65" s="72">
        <f t="shared" si="16"/>
        <v>6813</v>
      </c>
      <c r="AL65" s="72">
        <f t="shared" si="16"/>
        <v>7030</v>
      </c>
      <c r="AM65" s="72">
        <f t="shared" si="16"/>
        <v>7058</v>
      </c>
      <c r="AN65" s="72">
        <f t="shared" si="16"/>
        <v>7330</v>
      </c>
      <c r="AO65" s="72">
        <f t="shared" si="16"/>
        <v>7408</v>
      </c>
      <c r="AP65" s="72">
        <f t="shared" si="16"/>
        <v>7586</v>
      </c>
      <c r="AQ65" s="72">
        <f t="shared" si="16"/>
        <v>7895</v>
      </c>
      <c r="AR65" s="72">
        <f t="shared" si="16"/>
        <v>8461</v>
      </c>
      <c r="AS65" s="72">
        <f t="shared" si="16"/>
        <v>8965</v>
      </c>
      <c r="AT65" s="72">
        <f t="shared" si="16"/>
        <v>9485</v>
      </c>
      <c r="AU65" s="72">
        <f t="shared" si="16"/>
        <v>10335</v>
      </c>
      <c r="AV65" s="72">
        <f t="shared" si="16"/>
        <v>10899</v>
      </c>
      <c r="AW65" s="72">
        <f t="shared" si="16"/>
        <v>13046</v>
      </c>
      <c r="AX65" s="72">
        <f t="shared" si="16"/>
        <v>14722</v>
      </c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24"/>
      <c r="CI65" s="24"/>
      <c r="CJ65" s="24"/>
      <c r="CK65" s="24"/>
      <c r="CL65" s="24"/>
      <c r="CM65" s="24"/>
      <c r="CN65" s="24"/>
      <c r="CO65" s="24"/>
      <c r="CP65" s="24"/>
      <c r="CQ65" s="24"/>
    </row>
    <row r="66" spans="1:95" s="5" customFormat="1" ht="24.95" customHeight="1" x14ac:dyDescent="0.3">
      <c r="A66" s="54" t="s">
        <v>2</v>
      </c>
      <c r="B66" s="52">
        <v>349</v>
      </c>
      <c r="C66" s="52">
        <v>356</v>
      </c>
      <c r="D66" s="52">
        <v>403</v>
      </c>
      <c r="E66" s="52">
        <v>378</v>
      </c>
      <c r="F66" s="52">
        <v>390</v>
      </c>
      <c r="G66" s="52">
        <v>400</v>
      </c>
      <c r="H66" s="52">
        <v>427</v>
      </c>
      <c r="I66" s="52">
        <v>464</v>
      </c>
      <c r="J66" s="52">
        <v>543</v>
      </c>
      <c r="K66" s="52">
        <v>530</v>
      </c>
      <c r="L66" s="52">
        <v>699</v>
      </c>
      <c r="M66" s="52">
        <v>756</v>
      </c>
      <c r="N66" s="52">
        <v>793</v>
      </c>
      <c r="O66" s="52">
        <v>832</v>
      </c>
      <c r="P66" s="52">
        <v>890</v>
      </c>
      <c r="Q66" s="52">
        <v>899</v>
      </c>
      <c r="R66" s="52">
        <v>984</v>
      </c>
      <c r="S66" s="52">
        <v>1027</v>
      </c>
      <c r="T66" s="52">
        <v>1078</v>
      </c>
      <c r="U66" s="52">
        <v>1130</v>
      </c>
      <c r="V66" s="52">
        <v>1157</v>
      </c>
      <c r="W66" s="52">
        <v>1097</v>
      </c>
      <c r="X66" s="52">
        <v>1165</v>
      </c>
      <c r="Y66" s="55">
        <v>1152</v>
      </c>
      <c r="Z66" s="55">
        <v>1191</v>
      </c>
      <c r="AA66" s="55">
        <v>1207</v>
      </c>
      <c r="AB66" s="55">
        <v>1298</v>
      </c>
      <c r="AC66" s="55">
        <v>1367</v>
      </c>
      <c r="AD66" s="55">
        <v>1417</v>
      </c>
      <c r="AE66" s="55">
        <v>1483</v>
      </c>
      <c r="AF66" s="55">
        <v>1539</v>
      </c>
      <c r="AG66" s="55">
        <v>1549</v>
      </c>
      <c r="AH66" s="55">
        <v>1589</v>
      </c>
      <c r="AI66" s="55">
        <v>1617</v>
      </c>
      <c r="AJ66" s="55">
        <v>1682</v>
      </c>
      <c r="AK66" s="55">
        <v>1640</v>
      </c>
      <c r="AL66" s="55">
        <v>1608</v>
      </c>
      <c r="AM66" s="55">
        <v>1583</v>
      </c>
      <c r="AN66" s="55">
        <v>1573</v>
      </c>
      <c r="AO66" s="55">
        <v>1576</v>
      </c>
      <c r="AP66" s="55">
        <v>1599</v>
      </c>
      <c r="AQ66" s="55">
        <v>1636</v>
      </c>
      <c r="AR66" s="55">
        <v>1787</v>
      </c>
      <c r="AS66" s="55">
        <v>1926</v>
      </c>
      <c r="AT66" s="55">
        <v>2035</v>
      </c>
      <c r="AU66" s="55">
        <v>2192</v>
      </c>
      <c r="AV66" s="55">
        <v>2342</v>
      </c>
      <c r="AW66" s="55">
        <v>3173</v>
      </c>
      <c r="AX66" s="55">
        <v>3693</v>
      </c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28"/>
      <c r="CI66" s="28"/>
      <c r="CJ66" s="28"/>
      <c r="CK66" s="28"/>
      <c r="CL66" s="28"/>
      <c r="CM66" s="28"/>
      <c r="CN66" s="28"/>
      <c r="CO66" s="28"/>
      <c r="CP66" s="28"/>
      <c r="CQ66" s="28"/>
    </row>
    <row r="67" spans="1:95" s="5" customFormat="1" ht="24.95" customHeight="1" x14ac:dyDescent="0.3">
      <c r="A67" s="54" t="s">
        <v>3</v>
      </c>
      <c r="B67" s="52">
        <v>543</v>
      </c>
      <c r="C67" s="52">
        <v>571</v>
      </c>
      <c r="D67" s="52">
        <v>627</v>
      </c>
      <c r="E67" s="52">
        <v>673</v>
      </c>
      <c r="F67" s="52">
        <v>708</v>
      </c>
      <c r="G67" s="52">
        <v>796</v>
      </c>
      <c r="H67" s="52">
        <v>883</v>
      </c>
      <c r="I67" s="52">
        <v>969</v>
      </c>
      <c r="J67" s="52">
        <v>1036</v>
      </c>
      <c r="K67" s="52">
        <v>1137</v>
      </c>
      <c r="L67" s="52">
        <v>1230</v>
      </c>
      <c r="M67" s="52">
        <v>1294</v>
      </c>
      <c r="N67" s="52">
        <v>1346</v>
      </c>
      <c r="O67" s="52">
        <v>1398</v>
      </c>
      <c r="P67" s="52">
        <v>1483</v>
      </c>
      <c r="Q67" s="52">
        <v>1586</v>
      </c>
      <c r="R67" s="52">
        <v>1811</v>
      </c>
      <c r="S67" s="52">
        <v>1966</v>
      </c>
      <c r="T67" s="52">
        <v>2211</v>
      </c>
      <c r="U67" s="52">
        <v>2389</v>
      </c>
      <c r="V67" s="52">
        <v>2580</v>
      </c>
      <c r="W67" s="52">
        <v>2676</v>
      </c>
      <c r="X67" s="52">
        <v>2848</v>
      </c>
      <c r="Y67" s="55">
        <v>2990</v>
      </c>
      <c r="Z67" s="55">
        <v>3115</v>
      </c>
      <c r="AA67" s="55">
        <v>3252</v>
      </c>
      <c r="AB67" s="55">
        <v>3514</v>
      </c>
      <c r="AC67" s="55">
        <v>3715</v>
      </c>
      <c r="AD67" s="55">
        <v>3855</v>
      </c>
      <c r="AE67" s="55">
        <v>4057</v>
      </c>
      <c r="AF67" s="55">
        <v>4166</v>
      </c>
      <c r="AG67" s="55">
        <v>4358</v>
      </c>
      <c r="AH67" s="55">
        <v>4608</v>
      </c>
      <c r="AI67" s="55">
        <v>4799</v>
      </c>
      <c r="AJ67" s="55">
        <v>4963</v>
      </c>
      <c r="AK67" s="55">
        <v>5173</v>
      </c>
      <c r="AL67" s="55">
        <v>5422</v>
      </c>
      <c r="AM67" s="55">
        <v>5475</v>
      </c>
      <c r="AN67" s="55">
        <v>5757</v>
      </c>
      <c r="AO67" s="55">
        <v>5832</v>
      </c>
      <c r="AP67" s="55">
        <v>5987</v>
      </c>
      <c r="AQ67" s="55">
        <v>6259</v>
      </c>
      <c r="AR67" s="55">
        <v>6674</v>
      </c>
      <c r="AS67" s="55">
        <v>7039</v>
      </c>
      <c r="AT67" s="55">
        <v>7450</v>
      </c>
      <c r="AU67" s="55">
        <v>8143</v>
      </c>
      <c r="AV67" s="55">
        <v>8557</v>
      </c>
      <c r="AW67" s="55">
        <v>9873</v>
      </c>
      <c r="AX67" s="55">
        <v>11029</v>
      </c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28"/>
      <c r="CI67" s="28"/>
      <c r="CJ67" s="28"/>
      <c r="CK67" s="28"/>
      <c r="CL67" s="28"/>
      <c r="CM67" s="28"/>
      <c r="CN67" s="28"/>
      <c r="CO67" s="28"/>
      <c r="CP67" s="28"/>
      <c r="CQ67" s="28"/>
    </row>
    <row r="68" spans="1:95" s="10" customFormat="1" ht="24.95" customHeight="1" x14ac:dyDescent="0.3">
      <c r="A68" s="61" t="s">
        <v>5</v>
      </c>
      <c r="B68" s="67">
        <f>SUM(B69,B70)</f>
        <v>5999</v>
      </c>
      <c r="C68" s="67">
        <f t="shared" ref="C68:AV68" si="17">SUM(C69,C70)</f>
        <v>5573</v>
      </c>
      <c r="D68" s="67">
        <f t="shared" si="17"/>
        <v>5805</v>
      </c>
      <c r="E68" s="67">
        <f>SUM(E69,E70)</f>
        <v>4420</v>
      </c>
      <c r="F68" s="67">
        <f t="shared" si="17"/>
        <v>4070</v>
      </c>
      <c r="G68" s="67">
        <f t="shared" si="17"/>
        <v>3543</v>
      </c>
      <c r="H68" s="67">
        <f t="shared" si="17"/>
        <v>2965</v>
      </c>
      <c r="I68" s="67">
        <f t="shared" si="17"/>
        <v>2782</v>
      </c>
      <c r="J68" s="67">
        <f t="shared" si="17"/>
        <v>2328</v>
      </c>
      <c r="K68" s="67">
        <f t="shared" si="17"/>
        <v>1996</v>
      </c>
      <c r="L68" s="67">
        <f t="shared" si="17"/>
        <v>1852</v>
      </c>
      <c r="M68" s="67">
        <f t="shared" si="17"/>
        <v>1757</v>
      </c>
      <c r="N68" s="67">
        <f t="shared" si="17"/>
        <v>1690</v>
      </c>
      <c r="O68" s="67">
        <f t="shared" si="17"/>
        <v>796</v>
      </c>
      <c r="P68" s="67">
        <f t="shared" si="17"/>
        <v>787</v>
      </c>
      <c r="Q68" s="67">
        <f t="shared" si="17"/>
        <v>438</v>
      </c>
      <c r="R68" s="67">
        <f t="shared" si="17"/>
        <v>376</v>
      </c>
      <c r="S68" s="67">
        <f t="shared" si="17"/>
        <v>384</v>
      </c>
      <c r="T68" s="67">
        <f t="shared" si="17"/>
        <v>496</v>
      </c>
      <c r="U68" s="67">
        <f t="shared" si="17"/>
        <v>473</v>
      </c>
      <c r="V68" s="67">
        <f t="shared" si="17"/>
        <v>720</v>
      </c>
      <c r="W68" s="67">
        <f t="shared" si="17"/>
        <v>880</v>
      </c>
      <c r="X68" s="67">
        <f t="shared" si="17"/>
        <v>879</v>
      </c>
      <c r="Y68" s="72">
        <f t="shared" si="17"/>
        <v>844</v>
      </c>
      <c r="Z68" s="72">
        <f t="shared" si="17"/>
        <v>827</v>
      </c>
      <c r="AA68" s="72">
        <f t="shared" si="17"/>
        <v>675</v>
      </c>
      <c r="AB68" s="72">
        <f t="shared" si="17"/>
        <v>674</v>
      </c>
      <c r="AC68" s="72">
        <f t="shared" si="17"/>
        <v>626</v>
      </c>
      <c r="AD68" s="72">
        <f t="shared" si="17"/>
        <v>616</v>
      </c>
      <c r="AE68" s="72">
        <f t="shared" si="17"/>
        <v>550</v>
      </c>
      <c r="AF68" s="72">
        <f t="shared" si="17"/>
        <v>452</v>
      </c>
      <c r="AG68" s="72">
        <f t="shared" si="17"/>
        <v>368</v>
      </c>
      <c r="AH68" s="72">
        <f t="shared" si="17"/>
        <v>308</v>
      </c>
      <c r="AI68" s="72">
        <f t="shared" si="17"/>
        <v>223</v>
      </c>
      <c r="AJ68" s="72">
        <f t="shared" si="17"/>
        <v>161</v>
      </c>
      <c r="AK68" s="72">
        <f t="shared" si="17"/>
        <v>89</v>
      </c>
      <c r="AL68" s="72">
        <f t="shared" si="17"/>
        <v>39</v>
      </c>
      <c r="AM68" s="72">
        <f t="shared" si="17"/>
        <v>0</v>
      </c>
      <c r="AN68" s="72">
        <f t="shared" si="17"/>
        <v>0</v>
      </c>
      <c r="AO68" s="72">
        <f t="shared" si="17"/>
        <v>0</v>
      </c>
      <c r="AP68" s="72">
        <f t="shared" si="17"/>
        <v>0</v>
      </c>
      <c r="AQ68" s="72">
        <f t="shared" si="17"/>
        <v>0</v>
      </c>
      <c r="AR68" s="72">
        <f t="shared" si="17"/>
        <v>0</v>
      </c>
      <c r="AS68" s="72">
        <f t="shared" si="17"/>
        <v>0</v>
      </c>
      <c r="AT68" s="72">
        <f t="shared" si="17"/>
        <v>0</v>
      </c>
      <c r="AU68" s="72">
        <f t="shared" si="17"/>
        <v>0</v>
      </c>
      <c r="AV68" s="72">
        <f t="shared" si="17"/>
        <v>0</v>
      </c>
      <c r="AW68" s="72">
        <v>0</v>
      </c>
      <c r="AX68" s="72">
        <v>0</v>
      </c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24"/>
      <c r="CI68" s="24"/>
      <c r="CJ68" s="24"/>
      <c r="CK68" s="24"/>
      <c r="CL68" s="24"/>
      <c r="CM68" s="24"/>
      <c r="CN68" s="24"/>
      <c r="CO68" s="24"/>
      <c r="CP68" s="24"/>
      <c r="CQ68" s="24"/>
    </row>
    <row r="69" spans="1:95" s="5" customFormat="1" ht="24.95" customHeight="1" x14ac:dyDescent="0.3">
      <c r="A69" s="54" t="s">
        <v>2</v>
      </c>
      <c r="B69" s="52">
        <v>5977</v>
      </c>
      <c r="C69" s="52">
        <v>5552</v>
      </c>
      <c r="D69" s="52">
        <f>5424+359</f>
        <v>5783</v>
      </c>
      <c r="E69" s="52">
        <f>4049+354</f>
        <v>4403</v>
      </c>
      <c r="F69" s="52">
        <f>3695+356</f>
        <v>4051</v>
      </c>
      <c r="G69" s="52">
        <f>3204+321</f>
        <v>3525</v>
      </c>
      <c r="H69" s="52">
        <f>2673+277</f>
        <v>2950</v>
      </c>
      <c r="I69" s="52">
        <f>2500+259</f>
        <v>2759</v>
      </c>
      <c r="J69" s="52">
        <f>2072+240</f>
        <v>2312</v>
      </c>
      <c r="K69" s="52">
        <f>241+1744</f>
        <v>1985</v>
      </c>
      <c r="L69" s="52">
        <f>252+1593</f>
        <v>1845</v>
      </c>
      <c r="M69" s="52">
        <f>232+1519</f>
        <v>1751</v>
      </c>
      <c r="N69" s="52">
        <f>208+1475</f>
        <v>1683</v>
      </c>
      <c r="O69" s="52">
        <f>160+630</f>
        <v>790</v>
      </c>
      <c r="P69" s="52">
        <f>146+635</f>
        <v>781</v>
      </c>
      <c r="Q69" s="52">
        <f>136+295</f>
        <v>431</v>
      </c>
      <c r="R69" s="52">
        <f>128+241</f>
        <v>369</v>
      </c>
      <c r="S69" s="52">
        <f>127+249</f>
        <v>376</v>
      </c>
      <c r="T69" s="52">
        <f>139+353</f>
        <v>492</v>
      </c>
      <c r="U69" s="52">
        <f>145+321</f>
        <v>466</v>
      </c>
      <c r="V69" s="52">
        <f>147+568</f>
        <v>715</v>
      </c>
      <c r="W69" s="52">
        <f>149+729</f>
        <v>878</v>
      </c>
      <c r="X69" s="52">
        <f>145+732</f>
        <v>877</v>
      </c>
      <c r="Y69" s="55">
        <f>130+711</f>
        <v>841</v>
      </c>
      <c r="Z69" s="55">
        <f>120+704</f>
        <v>824</v>
      </c>
      <c r="AA69" s="55">
        <v>674</v>
      </c>
      <c r="AB69" s="55">
        <v>673</v>
      </c>
      <c r="AC69" s="55">
        <v>626</v>
      </c>
      <c r="AD69" s="55">
        <v>616</v>
      </c>
      <c r="AE69" s="55">
        <v>550</v>
      </c>
      <c r="AF69" s="55">
        <v>452</v>
      </c>
      <c r="AG69" s="55">
        <v>368</v>
      </c>
      <c r="AH69" s="55">
        <v>308</v>
      </c>
      <c r="AI69" s="55">
        <v>223</v>
      </c>
      <c r="AJ69" s="55">
        <v>161</v>
      </c>
      <c r="AK69" s="55">
        <v>89</v>
      </c>
      <c r="AL69" s="55">
        <v>39</v>
      </c>
      <c r="AM69" s="55">
        <v>0</v>
      </c>
      <c r="AN69" s="55">
        <v>0</v>
      </c>
      <c r="AO69" s="55">
        <v>0</v>
      </c>
      <c r="AP69" s="55">
        <v>0</v>
      </c>
      <c r="AQ69" s="55">
        <v>0</v>
      </c>
      <c r="AR69" s="55">
        <v>0</v>
      </c>
      <c r="AS69" s="55">
        <v>0</v>
      </c>
      <c r="AT69" s="55">
        <v>0</v>
      </c>
      <c r="AU69" s="55">
        <v>0</v>
      </c>
      <c r="AV69" s="55">
        <v>0</v>
      </c>
      <c r="AW69" s="55">
        <v>0</v>
      </c>
      <c r="AX69" s="55">
        <v>0</v>
      </c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28"/>
      <c r="CI69" s="28"/>
      <c r="CJ69" s="28"/>
      <c r="CK69" s="28"/>
      <c r="CL69" s="28"/>
      <c r="CM69" s="28"/>
      <c r="CN69" s="28"/>
      <c r="CO69" s="28"/>
      <c r="CP69" s="28"/>
      <c r="CQ69" s="28"/>
    </row>
    <row r="70" spans="1:95" s="5" customFormat="1" ht="24.95" customHeight="1" thickBot="1" x14ac:dyDescent="0.35">
      <c r="A70" s="56" t="s">
        <v>3</v>
      </c>
      <c r="B70" s="57">
        <v>22</v>
      </c>
      <c r="C70" s="57">
        <v>21</v>
      </c>
      <c r="D70" s="57">
        <f>16+6</f>
        <v>22</v>
      </c>
      <c r="E70" s="57">
        <f>13+4</f>
        <v>17</v>
      </c>
      <c r="F70" s="57">
        <f>14+5</f>
        <v>19</v>
      </c>
      <c r="G70" s="57">
        <f>12+6</f>
        <v>18</v>
      </c>
      <c r="H70" s="57">
        <f>13+2</f>
        <v>15</v>
      </c>
      <c r="I70" s="57">
        <f>14+9</f>
        <v>23</v>
      </c>
      <c r="J70" s="57">
        <f>13+3</f>
        <v>16</v>
      </c>
      <c r="K70" s="57">
        <f>2+9</f>
        <v>11</v>
      </c>
      <c r="L70" s="57">
        <f>1+6</f>
        <v>7</v>
      </c>
      <c r="M70" s="57">
        <f>1+5</f>
        <v>6</v>
      </c>
      <c r="N70" s="57">
        <v>7</v>
      </c>
      <c r="O70" s="57">
        <f>2+4</f>
        <v>6</v>
      </c>
      <c r="P70" s="57">
        <f>2+4</f>
        <v>6</v>
      </c>
      <c r="Q70" s="57">
        <f>3+4</f>
        <v>7</v>
      </c>
      <c r="R70" s="57">
        <f>4+3</f>
        <v>7</v>
      </c>
      <c r="S70" s="57">
        <f>4+4</f>
        <v>8</v>
      </c>
      <c r="T70" s="57">
        <f>3+1</f>
        <v>4</v>
      </c>
      <c r="U70" s="57">
        <f>6+1</f>
        <v>7</v>
      </c>
      <c r="V70" s="57">
        <f>3+2</f>
        <v>5</v>
      </c>
      <c r="W70" s="57">
        <v>2</v>
      </c>
      <c r="X70" s="57">
        <f>1+1</f>
        <v>2</v>
      </c>
      <c r="Y70" s="58">
        <f>1+2</f>
        <v>3</v>
      </c>
      <c r="Z70" s="58">
        <f>2+1</f>
        <v>3</v>
      </c>
      <c r="AA70" s="58">
        <v>1</v>
      </c>
      <c r="AB70" s="58">
        <v>1</v>
      </c>
      <c r="AC70" s="58">
        <v>0</v>
      </c>
      <c r="AD70" s="58">
        <v>0</v>
      </c>
      <c r="AE70" s="58">
        <v>0</v>
      </c>
      <c r="AF70" s="58">
        <v>0</v>
      </c>
      <c r="AG70" s="58">
        <v>0</v>
      </c>
      <c r="AH70" s="58">
        <v>0</v>
      </c>
      <c r="AI70" s="58">
        <v>0</v>
      </c>
      <c r="AJ70" s="58">
        <v>0</v>
      </c>
      <c r="AK70" s="58">
        <v>0</v>
      </c>
      <c r="AL70" s="58">
        <v>0</v>
      </c>
      <c r="AM70" s="58">
        <v>0</v>
      </c>
      <c r="AN70" s="58">
        <v>0</v>
      </c>
      <c r="AO70" s="58">
        <v>0</v>
      </c>
      <c r="AP70" s="58">
        <v>0</v>
      </c>
      <c r="AQ70" s="58">
        <v>0</v>
      </c>
      <c r="AR70" s="58">
        <v>0</v>
      </c>
      <c r="AS70" s="58">
        <v>0</v>
      </c>
      <c r="AT70" s="58">
        <v>0</v>
      </c>
      <c r="AU70" s="58">
        <v>0</v>
      </c>
      <c r="AV70" s="58">
        <v>0</v>
      </c>
      <c r="AW70" s="58">
        <v>0</v>
      </c>
      <c r="AX70" s="58">
        <v>0</v>
      </c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28"/>
      <c r="CI70" s="28"/>
      <c r="CJ70" s="28"/>
      <c r="CK70" s="28"/>
      <c r="CL70" s="28"/>
      <c r="CM70" s="28"/>
      <c r="CN70" s="28"/>
      <c r="CO70" s="28"/>
      <c r="CP70" s="28"/>
      <c r="CQ70" s="28"/>
    </row>
    <row r="71" spans="1:95" s="5" customFormat="1" ht="24.95" customHeight="1" x14ac:dyDescent="0.3">
      <c r="A71" s="59" t="s">
        <v>61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43"/>
      <c r="AX71" s="43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28"/>
      <c r="CI71" s="28"/>
      <c r="CJ71" s="28"/>
      <c r="CK71" s="28"/>
      <c r="CL71" s="28"/>
      <c r="CM71" s="28"/>
      <c r="CN71" s="28"/>
      <c r="CO71" s="28"/>
      <c r="CP71" s="28"/>
      <c r="CQ71" s="28"/>
    </row>
    <row r="72" spans="1:95" s="10" customFormat="1" ht="24.95" customHeight="1" x14ac:dyDescent="0.2">
      <c r="A72" s="51" t="s">
        <v>1</v>
      </c>
      <c r="B72" s="67">
        <f>SUM(B73,B74)</f>
        <v>8992</v>
      </c>
      <c r="C72" s="67">
        <f t="shared" ref="C72:AX72" si="18">SUM(C73,C74)</f>
        <v>9611</v>
      </c>
      <c r="D72" s="67">
        <f t="shared" si="18"/>
        <v>10567</v>
      </c>
      <c r="E72" s="67">
        <f t="shared" si="18"/>
        <v>11470</v>
      </c>
      <c r="F72" s="67">
        <f t="shared" si="18"/>
        <v>12062</v>
      </c>
      <c r="G72" s="67">
        <f t="shared" si="18"/>
        <v>13115</v>
      </c>
      <c r="H72" s="67">
        <f t="shared" si="18"/>
        <v>14010</v>
      </c>
      <c r="I72" s="67">
        <f t="shared" si="18"/>
        <v>14727</v>
      </c>
      <c r="J72" s="67">
        <f t="shared" si="18"/>
        <v>15405</v>
      </c>
      <c r="K72" s="67">
        <f t="shared" si="18"/>
        <v>16311</v>
      </c>
      <c r="L72" s="67">
        <f t="shared" si="18"/>
        <v>16669</v>
      </c>
      <c r="M72" s="67">
        <f t="shared" si="18"/>
        <v>16437</v>
      </c>
      <c r="N72" s="67">
        <f t="shared" si="18"/>
        <v>16358</v>
      </c>
      <c r="O72" s="67">
        <f t="shared" si="18"/>
        <v>16207</v>
      </c>
      <c r="P72" s="67">
        <f t="shared" si="18"/>
        <v>16188</v>
      </c>
      <c r="Q72" s="67">
        <f t="shared" si="18"/>
        <v>16013</v>
      </c>
      <c r="R72" s="67">
        <f t="shared" si="18"/>
        <v>15528</v>
      </c>
      <c r="S72" s="67">
        <f t="shared" si="18"/>
        <v>14836</v>
      </c>
      <c r="T72" s="67">
        <f t="shared" si="18"/>
        <v>14466</v>
      </c>
      <c r="U72" s="67">
        <f t="shared" si="18"/>
        <v>14313</v>
      </c>
      <c r="V72" s="67">
        <f t="shared" si="18"/>
        <v>14488</v>
      </c>
      <c r="W72" s="67">
        <f t="shared" si="18"/>
        <v>15595</v>
      </c>
      <c r="X72" s="67">
        <f t="shared" si="18"/>
        <v>16901</v>
      </c>
      <c r="Y72" s="73">
        <f t="shared" si="18"/>
        <v>17817</v>
      </c>
      <c r="Z72" s="73">
        <f t="shared" si="18"/>
        <v>18628</v>
      </c>
      <c r="AA72" s="73">
        <f t="shared" si="18"/>
        <v>19514</v>
      </c>
      <c r="AB72" s="73">
        <f t="shared" si="18"/>
        <v>20045</v>
      </c>
      <c r="AC72" s="73">
        <f t="shared" si="18"/>
        <v>20310</v>
      </c>
      <c r="AD72" s="73">
        <f t="shared" si="18"/>
        <v>20780</v>
      </c>
      <c r="AE72" s="73">
        <f t="shared" si="18"/>
        <v>21246</v>
      </c>
      <c r="AF72" s="73">
        <f t="shared" si="18"/>
        <v>21810</v>
      </c>
      <c r="AG72" s="73">
        <f t="shared" si="18"/>
        <v>22557</v>
      </c>
      <c r="AH72" s="73">
        <f t="shared" si="18"/>
        <v>23340</v>
      </c>
      <c r="AI72" s="73">
        <f t="shared" si="18"/>
        <v>23883</v>
      </c>
      <c r="AJ72" s="73">
        <f t="shared" si="18"/>
        <v>24332</v>
      </c>
      <c r="AK72" s="73">
        <f t="shared" si="18"/>
        <v>24609</v>
      </c>
      <c r="AL72" s="73">
        <f t="shared" si="18"/>
        <v>24646</v>
      </c>
      <c r="AM72" s="73">
        <f t="shared" si="18"/>
        <v>25045</v>
      </c>
      <c r="AN72" s="73">
        <f t="shared" si="18"/>
        <v>26167</v>
      </c>
      <c r="AO72" s="73">
        <f t="shared" si="18"/>
        <v>27970</v>
      </c>
      <c r="AP72" s="73">
        <f t="shared" si="18"/>
        <v>29361</v>
      </c>
      <c r="AQ72" s="73">
        <f t="shared" si="18"/>
        <v>30841</v>
      </c>
      <c r="AR72" s="73">
        <f t="shared" si="18"/>
        <v>32089</v>
      </c>
      <c r="AS72" s="73">
        <f t="shared" si="18"/>
        <v>33099</v>
      </c>
      <c r="AT72" s="73">
        <f t="shared" si="18"/>
        <v>34321</v>
      </c>
      <c r="AU72" s="73">
        <f t="shared" si="18"/>
        <v>36379</v>
      </c>
      <c r="AV72" s="73">
        <f t="shared" si="18"/>
        <v>38070</v>
      </c>
      <c r="AW72" s="73">
        <f t="shared" si="18"/>
        <v>36545</v>
      </c>
      <c r="AX72" s="73">
        <f t="shared" si="18"/>
        <v>36066</v>
      </c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24"/>
      <c r="CI72" s="24"/>
      <c r="CJ72" s="24"/>
      <c r="CK72" s="24"/>
      <c r="CL72" s="24"/>
      <c r="CM72" s="24"/>
      <c r="CN72" s="24"/>
      <c r="CO72" s="24"/>
      <c r="CP72" s="24"/>
      <c r="CQ72" s="24"/>
    </row>
    <row r="73" spans="1:95" s="5" customFormat="1" ht="24.95" customHeight="1" x14ac:dyDescent="0.3">
      <c r="A73" s="54" t="s">
        <v>2</v>
      </c>
      <c r="B73" s="52">
        <v>5924</v>
      </c>
      <c r="C73" s="52">
        <v>6262</v>
      </c>
      <c r="D73" s="52">
        <v>6983</v>
      </c>
      <c r="E73" s="52">
        <v>7310</v>
      </c>
      <c r="F73" s="52">
        <v>7557</v>
      </c>
      <c r="G73" s="52">
        <v>8092</v>
      </c>
      <c r="H73" s="52">
        <v>8746</v>
      </c>
      <c r="I73" s="52">
        <v>9305</v>
      </c>
      <c r="J73" s="52">
        <v>9924</v>
      </c>
      <c r="K73" s="52">
        <v>10442</v>
      </c>
      <c r="L73" s="52">
        <v>10656</v>
      </c>
      <c r="M73" s="52">
        <v>10470</v>
      </c>
      <c r="N73" s="52">
        <v>10376</v>
      </c>
      <c r="O73" s="52">
        <v>10164</v>
      </c>
      <c r="P73" s="52">
        <v>10121</v>
      </c>
      <c r="Q73" s="52">
        <v>10103</v>
      </c>
      <c r="R73" s="52">
        <v>9804</v>
      </c>
      <c r="S73" s="52">
        <v>9368</v>
      </c>
      <c r="T73" s="52">
        <v>9147</v>
      </c>
      <c r="U73" s="52">
        <v>9020</v>
      </c>
      <c r="V73" s="52">
        <v>8981</v>
      </c>
      <c r="W73" s="52">
        <v>9607</v>
      </c>
      <c r="X73" s="52">
        <v>10372</v>
      </c>
      <c r="Y73" s="63">
        <v>10862</v>
      </c>
      <c r="Z73" s="63">
        <v>11291</v>
      </c>
      <c r="AA73" s="63">
        <v>11870</v>
      </c>
      <c r="AB73" s="63">
        <v>12108</v>
      </c>
      <c r="AC73" s="63">
        <v>12177</v>
      </c>
      <c r="AD73" s="63">
        <v>12365</v>
      </c>
      <c r="AE73" s="63">
        <v>12534</v>
      </c>
      <c r="AF73" s="63">
        <v>12600</v>
      </c>
      <c r="AG73" s="63">
        <v>12818</v>
      </c>
      <c r="AH73" s="63">
        <v>13089</v>
      </c>
      <c r="AI73" s="63">
        <v>13251</v>
      </c>
      <c r="AJ73" s="63">
        <v>13463</v>
      </c>
      <c r="AK73" s="63">
        <v>13362</v>
      </c>
      <c r="AL73" s="63">
        <v>13169</v>
      </c>
      <c r="AM73" s="63">
        <v>13292</v>
      </c>
      <c r="AN73" s="63">
        <v>13602</v>
      </c>
      <c r="AO73" s="63">
        <v>14409</v>
      </c>
      <c r="AP73" s="63">
        <v>14980</v>
      </c>
      <c r="AQ73" s="63">
        <v>15554</v>
      </c>
      <c r="AR73" s="63">
        <v>15989</v>
      </c>
      <c r="AS73" s="63">
        <v>16433</v>
      </c>
      <c r="AT73" s="63">
        <v>16710</v>
      </c>
      <c r="AU73" s="63">
        <v>17667</v>
      </c>
      <c r="AV73" s="63">
        <v>18345</v>
      </c>
      <c r="AW73" s="63">
        <v>17406</v>
      </c>
      <c r="AX73" s="63">
        <v>17082</v>
      </c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28"/>
      <c r="CI73" s="28"/>
      <c r="CJ73" s="28"/>
      <c r="CK73" s="28"/>
      <c r="CL73" s="28"/>
      <c r="CM73" s="28"/>
      <c r="CN73" s="28"/>
      <c r="CO73" s="28"/>
      <c r="CP73" s="28"/>
      <c r="CQ73" s="28"/>
    </row>
    <row r="74" spans="1:95" s="5" customFormat="1" ht="24.95" customHeight="1" x14ac:dyDescent="0.3">
      <c r="A74" s="54" t="s">
        <v>3</v>
      </c>
      <c r="B74" s="52">
        <v>3068</v>
      </c>
      <c r="C74" s="52">
        <v>3349</v>
      </c>
      <c r="D74" s="52">
        <v>3584</v>
      </c>
      <c r="E74" s="52">
        <v>4160</v>
      </c>
      <c r="F74" s="52">
        <v>4505</v>
      </c>
      <c r="G74" s="52">
        <v>5023</v>
      </c>
      <c r="H74" s="52">
        <v>5264</v>
      </c>
      <c r="I74" s="52">
        <v>5422</v>
      </c>
      <c r="J74" s="52">
        <v>5481</v>
      </c>
      <c r="K74" s="52">
        <v>5869</v>
      </c>
      <c r="L74" s="52">
        <v>6013</v>
      </c>
      <c r="M74" s="52">
        <v>5967</v>
      </c>
      <c r="N74" s="52">
        <v>5982</v>
      </c>
      <c r="O74" s="52">
        <v>6043</v>
      </c>
      <c r="P74" s="52">
        <v>6067</v>
      </c>
      <c r="Q74" s="52">
        <v>5910</v>
      </c>
      <c r="R74" s="52">
        <v>5724</v>
      </c>
      <c r="S74" s="52">
        <v>5468</v>
      </c>
      <c r="T74" s="52">
        <v>5319</v>
      </c>
      <c r="U74" s="52">
        <v>5293</v>
      </c>
      <c r="V74" s="52">
        <v>5507</v>
      </c>
      <c r="W74" s="52">
        <v>5988</v>
      </c>
      <c r="X74" s="52">
        <v>6529</v>
      </c>
      <c r="Y74" s="63">
        <v>6955</v>
      </c>
      <c r="Z74" s="63">
        <v>7337</v>
      </c>
      <c r="AA74" s="63">
        <v>7644</v>
      </c>
      <c r="AB74" s="63">
        <v>7937</v>
      </c>
      <c r="AC74" s="63">
        <v>8133</v>
      </c>
      <c r="AD74" s="63">
        <v>8415</v>
      </c>
      <c r="AE74" s="63">
        <v>8712</v>
      </c>
      <c r="AF74" s="63">
        <v>9210</v>
      </c>
      <c r="AG74" s="63">
        <v>9739</v>
      </c>
      <c r="AH74" s="63">
        <v>10251</v>
      </c>
      <c r="AI74" s="63">
        <v>10632</v>
      </c>
      <c r="AJ74" s="63">
        <v>10869</v>
      </c>
      <c r="AK74" s="63">
        <v>11247</v>
      </c>
      <c r="AL74" s="63">
        <v>11477</v>
      </c>
      <c r="AM74" s="63">
        <v>11753</v>
      </c>
      <c r="AN74" s="63">
        <v>12565</v>
      </c>
      <c r="AO74" s="63">
        <v>13561</v>
      </c>
      <c r="AP74" s="63">
        <v>14381</v>
      </c>
      <c r="AQ74" s="63">
        <v>15287</v>
      </c>
      <c r="AR74" s="63">
        <v>16100</v>
      </c>
      <c r="AS74" s="63">
        <v>16666</v>
      </c>
      <c r="AT74" s="63">
        <v>17611</v>
      </c>
      <c r="AU74" s="63">
        <v>18712</v>
      </c>
      <c r="AV74" s="63">
        <v>19725</v>
      </c>
      <c r="AW74" s="63">
        <v>19139</v>
      </c>
      <c r="AX74" s="63">
        <v>18984</v>
      </c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28"/>
      <c r="CI74" s="28"/>
      <c r="CJ74" s="28"/>
      <c r="CK74" s="28"/>
      <c r="CL74" s="28"/>
      <c r="CM74" s="28"/>
      <c r="CN74" s="28"/>
      <c r="CO74" s="28"/>
      <c r="CP74" s="28"/>
      <c r="CQ74" s="28"/>
    </row>
    <row r="75" spans="1:95" s="10" customFormat="1" ht="24.95" customHeight="1" x14ac:dyDescent="0.2">
      <c r="A75" s="51" t="s">
        <v>4</v>
      </c>
      <c r="B75" s="67">
        <f>SUM(B76,B77)</f>
        <v>1167</v>
      </c>
      <c r="C75" s="67">
        <f t="shared" ref="C75:AX75" si="19">SUM(C76,C77)</f>
        <v>1268</v>
      </c>
      <c r="D75" s="67">
        <f t="shared" si="19"/>
        <v>1404</v>
      </c>
      <c r="E75" s="67">
        <f t="shared" si="19"/>
        <v>1600</v>
      </c>
      <c r="F75" s="67">
        <f t="shared" si="19"/>
        <v>1617</v>
      </c>
      <c r="G75" s="67">
        <f t="shared" si="19"/>
        <v>1862</v>
      </c>
      <c r="H75" s="67">
        <f t="shared" si="19"/>
        <v>2014</v>
      </c>
      <c r="I75" s="67">
        <f t="shared" si="19"/>
        <v>2198</v>
      </c>
      <c r="J75" s="67">
        <f t="shared" si="19"/>
        <v>2404</v>
      </c>
      <c r="K75" s="67">
        <f t="shared" si="19"/>
        <v>2618</v>
      </c>
      <c r="L75" s="67">
        <f t="shared" si="19"/>
        <v>2725</v>
      </c>
      <c r="M75" s="67">
        <f t="shared" si="19"/>
        <v>2791</v>
      </c>
      <c r="N75" s="67">
        <f t="shared" si="19"/>
        <v>2862</v>
      </c>
      <c r="O75" s="67">
        <f t="shared" si="19"/>
        <v>3035</v>
      </c>
      <c r="P75" s="67">
        <f t="shared" si="19"/>
        <v>3119</v>
      </c>
      <c r="Q75" s="67">
        <f t="shared" si="19"/>
        <v>3227</v>
      </c>
      <c r="R75" s="67">
        <f t="shared" si="19"/>
        <v>3243</v>
      </c>
      <c r="S75" s="67">
        <f t="shared" si="19"/>
        <v>3261</v>
      </c>
      <c r="T75" s="67">
        <f t="shared" si="19"/>
        <v>3276</v>
      </c>
      <c r="U75" s="67">
        <f t="shared" si="19"/>
        <v>3522</v>
      </c>
      <c r="V75" s="67">
        <f t="shared" si="19"/>
        <v>2808</v>
      </c>
      <c r="W75" s="67">
        <f t="shared" si="19"/>
        <v>4246</v>
      </c>
      <c r="X75" s="67">
        <f t="shared" si="19"/>
        <v>4755</v>
      </c>
      <c r="Y75" s="73">
        <f t="shared" si="19"/>
        <v>5151</v>
      </c>
      <c r="Z75" s="73">
        <f t="shared" si="19"/>
        <v>5534</v>
      </c>
      <c r="AA75" s="73">
        <f t="shared" si="19"/>
        <v>5898</v>
      </c>
      <c r="AB75" s="73">
        <f t="shared" si="19"/>
        <v>6071</v>
      </c>
      <c r="AC75" s="73">
        <f t="shared" si="19"/>
        <v>6242</v>
      </c>
      <c r="AD75" s="73">
        <f t="shared" si="19"/>
        <v>6392</v>
      </c>
      <c r="AE75" s="73">
        <f t="shared" si="19"/>
        <v>6763</v>
      </c>
      <c r="AF75" s="73">
        <f t="shared" si="19"/>
        <v>7069</v>
      </c>
      <c r="AG75" s="73">
        <f t="shared" si="19"/>
        <v>7533</v>
      </c>
      <c r="AH75" s="73">
        <f t="shared" si="19"/>
        <v>7806</v>
      </c>
      <c r="AI75" s="73">
        <f t="shared" si="19"/>
        <v>8221</v>
      </c>
      <c r="AJ75" s="73">
        <f t="shared" si="19"/>
        <v>8434</v>
      </c>
      <c r="AK75" s="73">
        <f t="shared" si="19"/>
        <v>8669</v>
      </c>
      <c r="AL75" s="73">
        <f t="shared" si="19"/>
        <v>8953</v>
      </c>
      <c r="AM75" s="73">
        <f t="shared" si="19"/>
        <v>9182</v>
      </c>
      <c r="AN75" s="73">
        <f t="shared" si="19"/>
        <v>9554</v>
      </c>
      <c r="AO75" s="73">
        <f t="shared" si="19"/>
        <v>10530</v>
      </c>
      <c r="AP75" s="73">
        <f t="shared" si="19"/>
        <v>10747</v>
      </c>
      <c r="AQ75" s="73">
        <f t="shared" si="19"/>
        <v>11414</v>
      </c>
      <c r="AR75" s="73">
        <f t="shared" si="19"/>
        <v>12018</v>
      </c>
      <c r="AS75" s="73">
        <f t="shared" si="19"/>
        <v>12503</v>
      </c>
      <c r="AT75" s="73">
        <f t="shared" si="19"/>
        <v>13134</v>
      </c>
      <c r="AU75" s="73">
        <f t="shared" si="19"/>
        <v>14133</v>
      </c>
      <c r="AV75" s="73">
        <f t="shared" si="19"/>
        <v>14803</v>
      </c>
      <c r="AW75" s="73">
        <f t="shared" si="19"/>
        <v>17702</v>
      </c>
      <c r="AX75" s="73">
        <f t="shared" si="19"/>
        <v>19761</v>
      </c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24"/>
      <c r="CI75" s="24"/>
      <c r="CJ75" s="24"/>
      <c r="CK75" s="24"/>
      <c r="CL75" s="24"/>
      <c r="CM75" s="24"/>
      <c r="CN75" s="24"/>
      <c r="CO75" s="24"/>
      <c r="CP75" s="24"/>
      <c r="CQ75" s="24"/>
    </row>
    <row r="76" spans="1:95" s="5" customFormat="1" ht="24.95" customHeight="1" x14ac:dyDescent="0.3">
      <c r="A76" s="54" t="s">
        <v>2</v>
      </c>
      <c r="B76" s="52">
        <v>492</v>
      </c>
      <c r="C76" s="52">
        <v>530</v>
      </c>
      <c r="D76" s="52">
        <v>611</v>
      </c>
      <c r="E76" s="52">
        <v>638</v>
      </c>
      <c r="F76" s="52">
        <v>627</v>
      </c>
      <c r="G76" s="52">
        <v>719</v>
      </c>
      <c r="H76" s="52">
        <v>764</v>
      </c>
      <c r="I76" s="52">
        <v>861</v>
      </c>
      <c r="J76" s="52">
        <v>939</v>
      </c>
      <c r="K76" s="52">
        <v>1023</v>
      </c>
      <c r="L76" s="52">
        <v>1051</v>
      </c>
      <c r="M76" s="52">
        <v>1082</v>
      </c>
      <c r="N76" s="52">
        <v>1124</v>
      </c>
      <c r="O76" s="52">
        <v>1210</v>
      </c>
      <c r="P76" s="52">
        <v>1270</v>
      </c>
      <c r="Q76" s="52">
        <v>1334</v>
      </c>
      <c r="R76" s="52">
        <v>1383</v>
      </c>
      <c r="S76" s="52">
        <v>1380</v>
      </c>
      <c r="T76" s="52">
        <v>1358</v>
      </c>
      <c r="U76" s="52">
        <v>1427</v>
      </c>
      <c r="V76" s="52">
        <v>1469</v>
      </c>
      <c r="W76" s="52">
        <v>1576</v>
      </c>
      <c r="X76" s="52">
        <v>1735</v>
      </c>
      <c r="Y76" s="63">
        <v>1810</v>
      </c>
      <c r="Z76" s="63">
        <v>1886</v>
      </c>
      <c r="AA76" s="63">
        <v>1983</v>
      </c>
      <c r="AB76" s="63">
        <v>1936</v>
      </c>
      <c r="AC76" s="63">
        <v>1966</v>
      </c>
      <c r="AD76" s="63">
        <v>1952</v>
      </c>
      <c r="AE76" s="63">
        <v>1993</v>
      </c>
      <c r="AF76" s="63">
        <v>2041</v>
      </c>
      <c r="AG76" s="63">
        <v>2078</v>
      </c>
      <c r="AH76" s="63">
        <v>2113</v>
      </c>
      <c r="AI76" s="63">
        <v>2190</v>
      </c>
      <c r="AJ76" s="63">
        <v>2223</v>
      </c>
      <c r="AK76" s="63">
        <v>2221</v>
      </c>
      <c r="AL76" s="63">
        <v>2296</v>
      </c>
      <c r="AM76" s="63">
        <v>2307</v>
      </c>
      <c r="AN76" s="63">
        <v>2301</v>
      </c>
      <c r="AO76" s="63">
        <v>2419</v>
      </c>
      <c r="AP76" s="63">
        <v>2461</v>
      </c>
      <c r="AQ76" s="63">
        <v>2554</v>
      </c>
      <c r="AR76" s="63">
        <v>2631</v>
      </c>
      <c r="AS76" s="63">
        <v>2691</v>
      </c>
      <c r="AT76" s="63">
        <v>2818</v>
      </c>
      <c r="AU76" s="63">
        <v>2940</v>
      </c>
      <c r="AV76" s="63">
        <v>3062</v>
      </c>
      <c r="AW76" s="63">
        <v>4229</v>
      </c>
      <c r="AX76" s="63">
        <v>5006</v>
      </c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28"/>
      <c r="CI76" s="28"/>
      <c r="CJ76" s="28"/>
      <c r="CK76" s="28"/>
      <c r="CL76" s="28"/>
      <c r="CM76" s="28"/>
      <c r="CN76" s="28"/>
      <c r="CO76" s="28"/>
      <c r="CP76" s="28"/>
      <c r="CQ76" s="28"/>
    </row>
    <row r="77" spans="1:95" s="5" customFormat="1" ht="24.95" customHeight="1" x14ac:dyDescent="0.3">
      <c r="A77" s="54" t="s">
        <v>3</v>
      </c>
      <c r="B77" s="52">
        <v>675</v>
      </c>
      <c r="C77" s="52">
        <v>738</v>
      </c>
      <c r="D77" s="52">
        <v>793</v>
      </c>
      <c r="E77" s="52">
        <v>962</v>
      </c>
      <c r="F77" s="52">
        <v>990</v>
      </c>
      <c r="G77" s="52">
        <v>1143</v>
      </c>
      <c r="H77" s="52">
        <v>1250</v>
      </c>
      <c r="I77" s="52">
        <v>1337</v>
      </c>
      <c r="J77" s="52">
        <v>1465</v>
      </c>
      <c r="K77" s="52">
        <v>1595</v>
      </c>
      <c r="L77" s="52">
        <v>1674</v>
      </c>
      <c r="M77" s="52">
        <v>1709</v>
      </c>
      <c r="N77" s="52">
        <v>1738</v>
      </c>
      <c r="O77" s="52">
        <v>1825</v>
      </c>
      <c r="P77" s="52">
        <v>1849</v>
      </c>
      <c r="Q77" s="52">
        <v>1893</v>
      </c>
      <c r="R77" s="52">
        <v>1860</v>
      </c>
      <c r="S77" s="52">
        <v>1881</v>
      </c>
      <c r="T77" s="52">
        <v>1918</v>
      </c>
      <c r="U77" s="52">
        <v>2095</v>
      </c>
      <c r="V77" s="52">
        <v>1339</v>
      </c>
      <c r="W77" s="52">
        <v>2670</v>
      </c>
      <c r="X77" s="52">
        <v>3020</v>
      </c>
      <c r="Y77" s="63">
        <v>3341</v>
      </c>
      <c r="Z77" s="63">
        <v>3648</v>
      </c>
      <c r="AA77" s="63">
        <v>3915</v>
      </c>
      <c r="AB77" s="63">
        <v>4135</v>
      </c>
      <c r="AC77" s="63">
        <v>4276</v>
      </c>
      <c r="AD77" s="63">
        <v>4440</v>
      </c>
      <c r="AE77" s="63">
        <v>4770</v>
      </c>
      <c r="AF77" s="63">
        <v>5028</v>
      </c>
      <c r="AG77" s="63">
        <v>5455</v>
      </c>
      <c r="AH77" s="63">
        <v>5693</v>
      </c>
      <c r="AI77" s="63">
        <v>6031</v>
      </c>
      <c r="AJ77" s="63">
        <v>6211</v>
      </c>
      <c r="AK77" s="63">
        <v>6448</v>
      </c>
      <c r="AL77" s="63">
        <v>6657</v>
      </c>
      <c r="AM77" s="63">
        <v>6875</v>
      </c>
      <c r="AN77" s="63">
        <v>7253</v>
      </c>
      <c r="AO77" s="63">
        <v>8111</v>
      </c>
      <c r="AP77" s="63">
        <v>8286</v>
      </c>
      <c r="AQ77" s="63">
        <v>8860</v>
      </c>
      <c r="AR77" s="63">
        <v>9387</v>
      </c>
      <c r="AS77" s="63">
        <v>9812</v>
      </c>
      <c r="AT77" s="63">
        <v>10316</v>
      </c>
      <c r="AU77" s="63">
        <v>11193</v>
      </c>
      <c r="AV77" s="63">
        <v>11741</v>
      </c>
      <c r="AW77" s="63">
        <v>13473</v>
      </c>
      <c r="AX77" s="63">
        <v>14755</v>
      </c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28"/>
      <c r="CI77" s="28"/>
      <c r="CJ77" s="28"/>
      <c r="CK77" s="28"/>
      <c r="CL77" s="28"/>
      <c r="CM77" s="28"/>
      <c r="CN77" s="28"/>
      <c r="CO77" s="28"/>
      <c r="CP77" s="28"/>
      <c r="CQ77" s="28"/>
    </row>
    <row r="78" spans="1:95" s="10" customFormat="1" ht="24.95" customHeight="1" x14ac:dyDescent="0.2">
      <c r="A78" s="51" t="s">
        <v>5</v>
      </c>
      <c r="B78" s="67">
        <f>SUM(B79,B80)</f>
        <v>10315</v>
      </c>
      <c r="C78" s="67">
        <f t="shared" ref="C78:AX78" si="20">SUM(C79,C80)</f>
        <v>10576</v>
      </c>
      <c r="D78" s="67">
        <f t="shared" si="20"/>
        <v>11271</v>
      </c>
      <c r="E78" s="67">
        <f t="shared" si="20"/>
        <v>9421</v>
      </c>
      <c r="F78" s="67">
        <f t="shared" si="20"/>
        <v>8458</v>
      </c>
      <c r="G78" s="67">
        <f t="shared" si="20"/>
        <v>7388</v>
      </c>
      <c r="H78" s="67">
        <f t="shared" si="20"/>
        <v>6050</v>
      </c>
      <c r="I78" s="67">
        <f t="shared" si="20"/>
        <v>5509</v>
      </c>
      <c r="J78" s="67">
        <f t="shared" si="20"/>
        <v>4641</v>
      </c>
      <c r="K78" s="67">
        <f t="shared" si="20"/>
        <v>4188</v>
      </c>
      <c r="L78" s="67">
        <f t="shared" si="20"/>
        <v>3761</v>
      </c>
      <c r="M78" s="67">
        <f t="shared" si="20"/>
        <v>3509</v>
      </c>
      <c r="N78" s="67">
        <f t="shared" si="20"/>
        <v>3371</v>
      </c>
      <c r="O78" s="67">
        <f t="shared" si="20"/>
        <v>2293</v>
      </c>
      <c r="P78" s="67">
        <f t="shared" si="20"/>
        <v>2222</v>
      </c>
      <c r="Q78" s="67">
        <f t="shared" si="20"/>
        <v>1806</v>
      </c>
      <c r="R78" s="67">
        <f t="shared" si="20"/>
        <v>1510</v>
      </c>
      <c r="S78" s="67">
        <f t="shared" si="20"/>
        <v>1254</v>
      </c>
      <c r="T78" s="67">
        <f t="shared" si="20"/>
        <v>992</v>
      </c>
      <c r="U78" s="67">
        <f t="shared" si="20"/>
        <v>723</v>
      </c>
      <c r="V78" s="67">
        <f t="shared" si="20"/>
        <v>918</v>
      </c>
      <c r="W78" s="67">
        <f t="shared" si="20"/>
        <v>777</v>
      </c>
      <c r="X78" s="67">
        <f t="shared" si="20"/>
        <v>699</v>
      </c>
      <c r="Y78" s="73">
        <f t="shared" si="20"/>
        <v>648</v>
      </c>
      <c r="Z78" s="73">
        <f t="shared" si="20"/>
        <v>687</v>
      </c>
      <c r="AA78" s="73">
        <f t="shared" si="20"/>
        <v>647</v>
      </c>
      <c r="AB78" s="73">
        <f t="shared" si="20"/>
        <v>683</v>
      </c>
      <c r="AC78" s="73">
        <f t="shared" si="20"/>
        <v>675</v>
      </c>
      <c r="AD78" s="73">
        <f t="shared" si="20"/>
        <v>606</v>
      </c>
      <c r="AE78" s="73">
        <f t="shared" si="20"/>
        <v>538</v>
      </c>
      <c r="AF78" s="73">
        <f t="shared" si="20"/>
        <v>371</v>
      </c>
      <c r="AG78" s="73">
        <f t="shared" si="20"/>
        <v>293</v>
      </c>
      <c r="AH78" s="73">
        <f t="shared" si="20"/>
        <v>239</v>
      </c>
      <c r="AI78" s="73">
        <f t="shared" si="20"/>
        <v>173</v>
      </c>
      <c r="AJ78" s="73">
        <f t="shared" si="20"/>
        <v>153</v>
      </c>
      <c r="AK78" s="73">
        <f t="shared" si="20"/>
        <v>100</v>
      </c>
      <c r="AL78" s="73">
        <f t="shared" si="20"/>
        <v>73</v>
      </c>
      <c r="AM78" s="73">
        <f t="shared" si="20"/>
        <v>0</v>
      </c>
      <c r="AN78" s="73">
        <f t="shared" si="20"/>
        <v>0</v>
      </c>
      <c r="AO78" s="73">
        <f t="shared" si="20"/>
        <v>0</v>
      </c>
      <c r="AP78" s="73">
        <f t="shared" si="20"/>
        <v>0</v>
      </c>
      <c r="AQ78" s="73">
        <f t="shared" si="20"/>
        <v>0</v>
      </c>
      <c r="AR78" s="73">
        <f t="shared" si="20"/>
        <v>0</v>
      </c>
      <c r="AS78" s="73">
        <f t="shared" si="20"/>
        <v>0</v>
      </c>
      <c r="AT78" s="73">
        <f t="shared" si="20"/>
        <v>0</v>
      </c>
      <c r="AU78" s="73">
        <f t="shared" si="20"/>
        <v>0</v>
      </c>
      <c r="AV78" s="73">
        <f t="shared" si="20"/>
        <v>0</v>
      </c>
      <c r="AW78" s="73">
        <f t="shared" si="20"/>
        <v>0</v>
      </c>
      <c r="AX78" s="73">
        <f t="shared" si="20"/>
        <v>0</v>
      </c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24"/>
      <c r="CI78" s="24"/>
      <c r="CJ78" s="24"/>
      <c r="CK78" s="24"/>
      <c r="CL78" s="24"/>
      <c r="CM78" s="24"/>
      <c r="CN78" s="24"/>
      <c r="CO78" s="24"/>
      <c r="CP78" s="24"/>
      <c r="CQ78" s="24"/>
    </row>
    <row r="79" spans="1:95" s="5" customFormat="1" ht="24.95" customHeight="1" x14ac:dyDescent="0.3">
      <c r="A79" s="54" t="s">
        <v>2</v>
      </c>
      <c r="B79" s="52">
        <v>10260</v>
      </c>
      <c r="C79" s="52">
        <v>10525</v>
      </c>
      <c r="D79" s="52">
        <f>10661+557</f>
        <v>11218</v>
      </c>
      <c r="E79" s="52">
        <f>8846+539</f>
        <v>9385</v>
      </c>
      <c r="F79" s="52">
        <f>7921+503</f>
        <v>8424</v>
      </c>
      <c r="G79" s="52">
        <f>6865+469</f>
        <v>7334</v>
      </c>
      <c r="H79" s="52">
        <f>5593+424</f>
        <v>6017</v>
      </c>
      <c r="I79" s="52">
        <f>5078+388</f>
        <v>5466</v>
      </c>
      <c r="J79" s="52">
        <f>4241+371</f>
        <v>4612</v>
      </c>
      <c r="K79" s="52">
        <f>385+3774</f>
        <v>4159</v>
      </c>
      <c r="L79" s="52">
        <f>413+3318</f>
        <v>3731</v>
      </c>
      <c r="M79" s="52">
        <f>3128+352</f>
        <v>3480</v>
      </c>
      <c r="N79" s="52">
        <f>321+3024</f>
        <v>3345</v>
      </c>
      <c r="O79" s="52">
        <f>301+1977</f>
        <v>2278</v>
      </c>
      <c r="P79" s="52">
        <f>1953+256</f>
        <v>2209</v>
      </c>
      <c r="Q79" s="52">
        <f>251+1549</f>
        <v>1800</v>
      </c>
      <c r="R79" s="52">
        <f>247+1259</f>
        <v>1506</v>
      </c>
      <c r="S79" s="52">
        <f>229+1020</f>
        <v>1249</v>
      </c>
      <c r="T79" s="52">
        <f>177+811</f>
        <v>988</v>
      </c>
      <c r="U79" s="52">
        <f>154+564</f>
        <v>718</v>
      </c>
      <c r="V79" s="52">
        <f>145+766</f>
        <v>911</v>
      </c>
      <c r="W79" s="52">
        <f>129+637</f>
        <v>766</v>
      </c>
      <c r="X79" s="52">
        <f>121+567</f>
        <v>688</v>
      </c>
      <c r="Y79" s="63">
        <f>123+516</f>
        <v>639</v>
      </c>
      <c r="Z79" s="63">
        <f>124+555</f>
        <v>679</v>
      </c>
      <c r="AA79" s="63">
        <v>646</v>
      </c>
      <c r="AB79" s="63">
        <v>683</v>
      </c>
      <c r="AC79" s="63">
        <v>674</v>
      </c>
      <c r="AD79" s="63">
        <v>605</v>
      </c>
      <c r="AE79" s="63">
        <v>537</v>
      </c>
      <c r="AF79" s="63">
        <v>370</v>
      </c>
      <c r="AG79" s="63">
        <v>293</v>
      </c>
      <c r="AH79" s="63">
        <v>239</v>
      </c>
      <c r="AI79" s="63">
        <v>173</v>
      </c>
      <c r="AJ79" s="63">
        <v>153</v>
      </c>
      <c r="AK79" s="63">
        <v>100</v>
      </c>
      <c r="AL79" s="63">
        <v>73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28"/>
      <c r="CI79" s="28"/>
      <c r="CJ79" s="28"/>
      <c r="CK79" s="28"/>
      <c r="CL79" s="28"/>
      <c r="CM79" s="28"/>
      <c r="CN79" s="28"/>
      <c r="CO79" s="28"/>
      <c r="CP79" s="28"/>
      <c r="CQ79" s="28"/>
    </row>
    <row r="80" spans="1:95" s="5" customFormat="1" ht="24.95" customHeight="1" thickBot="1" x14ac:dyDescent="0.35">
      <c r="A80" s="54" t="s">
        <v>3</v>
      </c>
      <c r="B80" s="57">
        <v>55</v>
      </c>
      <c r="C80" s="57">
        <v>51</v>
      </c>
      <c r="D80" s="57">
        <f>43+10</f>
        <v>53</v>
      </c>
      <c r="E80" s="57">
        <f>28+8</f>
        <v>36</v>
      </c>
      <c r="F80" s="57">
        <f>26+8</f>
        <v>34</v>
      </c>
      <c r="G80" s="57">
        <f>27+27</f>
        <v>54</v>
      </c>
      <c r="H80" s="57">
        <f>26+7</f>
        <v>33</v>
      </c>
      <c r="I80" s="57">
        <f>28+15</f>
        <v>43</v>
      </c>
      <c r="J80" s="57">
        <f>24+5</f>
        <v>29</v>
      </c>
      <c r="K80" s="57">
        <f>5+24</f>
        <v>29</v>
      </c>
      <c r="L80" s="57">
        <f>5+25</f>
        <v>30</v>
      </c>
      <c r="M80" s="57">
        <f>1+28</f>
        <v>29</v>
      </c>
      <c r="N80" s="57">
        <f>1+25</f>
        <v>26</v>
      </c>
      <c r="O80" s="57">
        <f>3+12</f>
        <v>15</v>
      </c>
      <c r="P80" s="57">
        <v>13</v>
      </c>
      <c r="Q80" s="57">
        <f>2+4</f>
        <v>6</v>
      </c>
      <c r="R80" s="57">
        <f>1+3</f>
        <v>4</v>
      </c>
      <c r="S80" s="57">
        <v>5</v>
      </c>
      <c r="T80" s="57">
        <f>1+3</f>
        <v>4</v>
      </c>
      <c r="U80" s="57">
        <f>2+3</f>
        <v>5</v>
      </c>
      <c r="V80" s="57">
        <f>4+3</f>
        <v>7</v>
      </c>
      <c r="W80" s="57">
        <f>7+4</f>
        <v>11</v>
      </c>
      <c r="X80" s="57">
        <f>7+4</f>
        <v>11</v>
      </c>
      <c r="Y80" s="64">
        <f>7+2</f>
        <v>9</v>
      </c>
      <c r="Z80" s="64">
        <v>8</v>
      </c>
      <c r="AA80" s="64">
        <v>1</v>
      </c>
      <c r="AB80" s="64">
        <v>0</v>
      </c>
      <c r="AC80" s="64">
        <v>1</v>
      </c>
      <c r="AD80" s="64">
        <v>1</v>
      </c>
      <c r="AE80" s="64">
        <v>1</v>
      </c>
      <c r="AF80" s="64">
        <v>1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28"/>
      <c r="CI80" s="28"/>
      <c r="CJ80" s="28"/>
      <c r="CK80" s="28"/>
      <c r="CL80" s="28"/>
      <c r="CM80" s="28"/>
      <c r="CN80" s="28"/>
      <c r="CO80" s="28"/>
      <c r="CP80" s="28"/>
      <c r="CQ80" s="28"/>
    </row>
    <row r="81" spans="1:95" s="5" customFormat="1" ht="24.95" customHeight="1" x14ac:dyDescent="0.3">
      <c r="A81" s="62" t="s">
        <v>62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28"/>
      <c r="CI81" s="28"/>
      <c r="CJ81" s="28"/>
      <c r="CK81" s="28"/>
      <c r="CL81" s="28"/>
      <c r="CM81" s="28"/>
      <c r="CN81" s="28"/>
      <c r="CO81" s="28"/>
      <c r="CP81" s="28"/>
      <c r="CQ81" s="28"/>
    </row>
    <row r="82" spans="1:95" s="10" customFormat="1" ht="24.95" customHeight="1" x14ac:dyDescent="0.3">
      <c r="A82" s="61" t="s">
        <v>1</v>
      </c>
      <c r="B82" s="67">
        <f>SUM(B83,B84)</f>
        <v>9739</v>
      </c>
      <c r="C82" s="67">
        <f t="shared" ref="C82:AX82" si="21">SUM(C83,C84)</f>
        <v>11336</v>
      </c>
      <c r="D82" s="67">
        <f t="shared" si="21"/>
        <v>13305</v>
      </c>
      <c r="E82" s="67">
        <f t="shared" si="21"/>
        <v>15818</v>
      </c>
      <c r="F82" s="67">
        <f t="shared" si="21"/>
        <v>17863</v>
      </c>
      <c r="G82" s="67">
        <f t="shared" si="21"/>
        <v>19503</v>
      </c>
      <c r="H82" s="67">
        <f t="shared" si="21"/>
        <v>20817</v>
      </c>
      <c r="I82" s="67">
        <f t="shared" si="21"/>
        <v>21823</v>
      </c>
      <c r="J82" s="67">
        <f t="shared" si="21"/>
        <v>21981</v>
      </c>
      <c r="K82" s="67">
        <f t="shared" si="21"/>
        <v>23444</v>
      </c>
      <c r="L82" s="67">
        <f t="shared" si="21"/>
        <v>24633</v>
      </c>
      <c r="M82" s="67">
        <f t="shared" si="21"/>
        <v>24948</v>
      </c>
      <c r="N82" s="67">
        <f t="shared" si="21"/>
        <v>25598</v>
      </c>
      <c r="O82" s="67">
        <f t="shared" si="21"/>
        <v>25864</v>
      </c>
      <c r="P82" s="67">
        <f t="shared" si="21"/>
        <v>25716</v>
      </c>
      <c r="Q82" s="67">
        <f t="shared" si="21"/>
        <v>25213</v>
      </c>
      <c r="R82" s="67">
        <f t="shared" si="21"/>
        <v>24665</v>
      </c>
      <c r="S82" s="67">
        <f t="shared" si="21"/>
        <v>23650</v>
      </c>
      <c r="T82" s="67">
        <f t="shared" si="21"/>
        <v>23126</v>
      </c>
      <c r="U82" s="67">
        <f t="shared" si="21"/>
        <v>23186</v>
      </c>
      <c r="V82" s="67">
        <f t="shared" si="21"/>
        <v>23010</v>
      </c>
      <c r="W82" s="67">
        <f t="shared" si="21"/>
        <v>22154</v>
      </c>
      <c r="X82" s="67">
        <f t="shared" si="21"/>
        <v>22524</v>
      </c>
      <c r="Y82" s="72">
        <f t="shared" si="21"/>
        <v>22092</v>
      </c>
      <c r="Z82" s="72">
        <f t="shared" si="21"/>
        <v>21458</v>
      </c>
      <c r="AA82" s="72">
        <f t="shared" si="21"/>
        <v>21472</v>
      </c>
      <c r="AB82" s="72">
        <f t="shared" si="21"/>
        <v>22503</v>
      </c>
      <c r="AC82" s="72">
        <f t="shared" si="21"/>
        <v>24188</v>
      </c>
      <c r="AD82" s="72">
        <f t="shared" si="21"/>
        <v>25443</v>
      </c>
      <c r="AE82" s="72">
        <f t="shared" si="21"/>
        <v>26607</v>
      </c>
      <c r="AF82" s="72">
        <f t="shared" si="21"/>
        <v>27644</v>
      </c>
      <c r="AG82" s="72">
        <f t="shared" si="21"/>
        <v>28542</v>
      </c>
      <c r="AH82" s="72">
        <f t="shared" si="21"/>
        <v>28900</v>
      </c>
      <c r="AI82" s="72">
        <f t="shared" si="21"/>
        <v>29678</v>
      </c>
      <c r="AJ82" s="72">
        <f t="shared" si="21"/>
        <v>30308</v>
      </c>
      <c r="AK82" s="72">
        <f t="shared" si="21"/>
        <v>30775</v>
      </c>
      <c r="AL82" s="72">
        <f t="shared" si="21"/>
        <v>31670</v>
      </c>
      <c r="AM82" s="72">
        <f t="shared" si="21"/>
        <v>32685</v>
      </c>
      <c r="AN82" s="72">
        <f t="shared" si="21"/>
        <v>33711</v>
      </c>
      <c r="AO82" s="72">
        <f t="shared" si="21"/>
        <v>35102</v>
      </c>
      <c r="AP82" s="72">
        <f t="shared" si="21"/>
        <v>36998</v>
      </c>
      <c r="AQ82" s="72">
        <f t="shared" si="21"/>
        <v>38464</v>
      </c>
      <c r="AR82" s="72">
        <f t="shared" si="21"/>
        <v>40482</v>
      </c>
      <c r="AS82" s="72">
        <f t="shared" si="21"/>
        <v>42946</v>
      </c>
      <c r="AT82" s="72">
        <f t="shared" si="21"/>
        <v>45887</v>
      </c>
      <c r="AU82" s="72">
        <f t="shared" si="21"/>
        <v>49554</v>
      </c>
      <c r="AV82" s="72">
        <f t="shared" si="21"/>
        <v>52694</v>
      </c>
      <c r="AW82" s="72">
        <f t="shared" si="21"/>
        <v>51899</v>
      </c>
      <c r="AX82" s="72">
        <f t="shared" si="21"/>
        <v>51623</v>
      </c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24"/>
      <c r="CI82" s="24"/>
      <c r="CJ82" s="24"/>
      <c r="CK82" s="24"/>
      <c r="CL82" s="24"/>
      <c r="CM82" s="24"/>
      <c r="CN82" s="24"/>
      <c r="CO82" s="24"/>
      <c r="CP82" s="24"/>
      <c r="CQ82" s="24"/>
    </row>
    <row r="83" spans="1:95" s="5" customFormat="1" ht="24.95" customHeight="1" x14ac:dyDescent="0.3">
      <c r="A83" s="54" t="s">
        <v>2</v>
      </c>
      <c r="B83" s="52">
        <v>6659</v>
      </c>
      <c r="C83" s="52">
        <v>7641</v>
      </c>
      <c r="D83" s="52">
        <v>9106</v>
      </c>
      <c r="E83" s="52">
        <v>10633</v>
      </c>
      <c r="F83" s="52">
        <v>12081</v>
      </c>
      <c r="G83" s="52">
        <v>13014</v>
      </c>
      <c r="H83" s="52">
        <v>13940</v>
      </c>
      <c r="I83" s="52">
        <v>14511</v>
      </c>
      <c r="J83" s="52">
        <v>14447</v>
      </c>
      <c r="K83" s="52">
        <v>15498</v>
      </c>
      <c r="L83" s="52">
        <v>16369</v>
      </c>
      <c r="M83" s="52">
        <v>16643</v>
      </c>
      <c r="N83" s="52">
        <v>17135</v>
      </c>
      <c r="O83" s="52">
        <v>17400</v>
      </c>
      <c r="P83" s="52">
        <v>17393</v>
      </c>
      <c r="Q83" s="52">
        <v>17010</v>
      </c>
      <c r="R83" s="52">
        <v>16621</v>
      </c>
      <c r="S83" s="52">
        <v>15971</v>
      </c>
      <c r="T83" s="52">
        <v>15493</v>
      </c>
      <c r="U83" s="52">
        <v>15409</v>
      </c>
      <c r="V83" s="52">
        <v>15238</v>
      </c>
      <c r="W83" s="52">
        <v>14617</v>
      </c>
      <c r="X83" s="52">
        <f>14910</f>
        <v>14910</v>
      </c>
      <c r="Y83" s="55">
        <v>14461</v>
      </c>
      <c r="Z83" s="55">
        <v>14041</v>
      </c>
      <c r="AA83" s="55">
        <v>13926</v>
      </c>
      <c r="AB83" s="55">
        <v>14458</v>
      </c>
      <c r="AC83" s="55">
        <v>15426</v>
      </c>
      <c r="AD83" s="55">
        <v>16133</v>
      </c>
      <c r="AE83" s="55">
        <v>16779</v>
      </c>
      <c r="AF83" s="55">
        <v>17389</v>
      </c>
      <c r="AG83" s="55">
        <v>17751</v>
      </c>
      <c r="AH83" s="55">
        <v>17850</v>
      </c>
      <c r="AI83" s="55">
        <v>18058</v>
      </c>
      <c r="AJ83" s="55">
        <v>18069</v>
      </c>
      <c r="AK83" s="55">
        <v>17959</v>
      </c>
      <c r="AL83" s="55">
        <v>18194</v>
      </c>
      <c r="AM83" s="55">
        <v>18387</v>
      </c>
      <c r="AN83" s="55">
        <v>18631</v>
      </c>
      <c r="AO83" s="55">
        <v>19037</v>
      </c>
      <c r="AP83" s="55">
        <v>19792</v>
      </c>
      <c r="AQ83" s="55">
        <v>20270</v>
      </c>
      <c r="AR83" s="55">
        <v>21129</v>
      </c>
      <c r="AS83" s="55">
        <v>22111</v>
      </c>
      <c r="AT83" s="55">
        <v>23495</v>
      </c>
      <c r="AU83" s="55">
        <v>25097</v>
      </c>
      <c r="AV83" s="55">
        <v>26400</v>
      </c>
      <c r="AW83" s="55">
        <v>25973</v>
      </c>
      <c r="AX83" s="55">
        <v>25722</v>
      </c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28"/>
      <c r="CI83" s="28"/>
      <c r="CJ83" s="28"/>
      <c r="CK83" s="28"/>
      <c r="CL83" s="28"/>
      <c r="CM83" s="28"/>
      <c r="CN83" s="28"/>
      <c r="CO83" s="28"/>
      <c r="CP83" s="28"/>
      <c r="CQ83" s="28"/>
    </row>
    <row r="84" spans="1:95" s="5" customFormat="1" ht="24.95" customHeight="1" x14ac:dyDescent="0.3">
      <c r="A84" s="54" t="s">
        <v>3</v>
      </c>
      <c r="B84" s="52">
        <v>3080</v>
      </c>
      <c r="C84" s="52">
        <v>3695</v>
      </c>
      <c r="D84" s="52">
        <v>4199</v>
      </c>
      <c r="E84" s="52">
        <v>5185</v>
      </c>
      <c r="F84" s="52">
        <v>5782</v>
      </c>
      <c r="G84" s="52">
        <v>6489</v>
      </c>
      <c r="H84" s="52">
        <v>6877</v>
      </c>
      <c r="I84" s="52">
        <v>7312</v>
      </c>
      <c r="J84" s="52">
        <v>7534</v>
      </c>
      <c r="K84" s="52">
        <v>7946</v>
      </c>
      <c r="L84" s="52">
        <v>8264</v>
      </c>
      <c r="M84" s="52">
        <v>8305</v>
      </c>
      <c r="N84" s="52">
        <v>8463</v>
      </c>
      <c r="O84" s="52">
        <v>8464</v>
      </c>
      <c r="P84" s="52">
        <v>8323</v>
      </c>
      <c r="Q84" s="52">
        <v>8203</v>
      </c>
      <c r="R84" s="52">
        <v>8044</v>
      </c>
      <c r="S84" s="52">
        <v>7679</v>
      </c>
      <c r="T84" s="52">
        <v>7633</v>
      </c>
      <c r="U84" s="52">
        <v>7777</v>
      </c>
      <c r="V84" s="52">
        <v>7772</v>
      </c>
      <c r="W84" s="52">
        <v>7537</v>
      </c>
      <c r="X84" s="52">
        <v>7614</v>
      </c>
      <c r="Y84" s="55">
        <v>7631</v>
      </c>
      <c r="Z84" s="55">
        <v>7417</v>
      </c>
      <c r="AA84" s="55">
        <v>7546</v>
      </c>
      <c r="AB84" s="55">
        <v>8045</v>
      </c>
      <c r="AC84" s="55">
        <v>8762</v>
      </c>
      <c r="AD84" s="55">
        <v>9310</v>
      </c>
      <c r="AE84" s="55">
        <v>9828</v>
      </c>
      <c r="AF84" s="55">
        <v>10255</v>
      </c>
      <c r="AG84" s="55">
        <v>10791</v>
      </c>
      <c r="AH84" s="55">
        <v>11050</v>
      </c>
      <c r="AI84" s="55">
        <v>11620</v>
      </c>
      <c r="AJ84" s="55">
        <v>12239</v>
      </c>
      <c r="AK84" s="55">
        <v>12816</v>
      </c>
      <c r="AL84" s="55">
        <v>13476</v>
      </c>
      <c r="AM84" s="55">
        <v>14298</v>
      </c>
      <c r="AN84" s="55">
        <v>15080</v>
      </c>
      <c r="AO84" s="55">
        <v>16065</v>
      </c>
      <c r="AP84" s="55">
        <v>17206</v>
      </c>
      <c r="AQ84" s="55">
        <v>18194</v>
      </c>
      <c r="AR84" s="55">
        <v>19353</v>
      </c>
      <c r="AS84" s="55">
        <v>20835</v>
      </c>
      <c r="AT84" s="55">
        <v>22392</v>
      </c>
      <c r="AU84" s="55">
        <v>24457</v>
      </c>
      <c r="AV84" s="55">
        <v>26294</v>
      </c>
      <c r="AW84" s="55">
        <v>25926</v>
      </c>
      <c r="AX84" s="55">
        <v>25901</v>
      </c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28"/>
      <c r="CI84" s="28"/>
      <c r="CJ84" s="28"/>
      <c r="CK84" s="28"/>
      <c r="CL84" s="28"/>
      <c r="CM84" s="28"/>
      <c r="CN84" s="28"/>
      <c r="CO84" s="28"/>
      <c r="CP84" s="28"/>
      <c r="CQ84" s="28"/>
    </row>
    <row r="85" spans="1:95" s="10" customFormat="1" ht="24.95" customHeight="1" x14ac:dyDescent="0.3">
      <c r="A85" s="61" t="s">
        <v>4</v>
      </c>
      <c r="B85" s="67">
        <f>SUM(B86,B87)</f>
        <v>1041</v>
      </c>
      <c r="C85" s="67">
        <f t="shared" ref="C85:AX85" si="22">SUM(C86,C87)</f>
        <v>1281</v>
      </c>
      <c r="D85" s="67">
        <f t="shared" si="22"/>
        <v>1650</v>
      </c>
      <c r="E85" s="67">
        <f t="shared" si="22"/>
        <v>2106</v>
      </c>
      <c r="F85" s="67">
        <f t="shared" si="22"/>
        <v>2474</v>
      </c>
      <c r="G85" s="67">
        <f t="shared" si="22"/>
        <v>2665</v>
      </c>
      <c r="H85" s="67">
        <f t="shared" si="22"/>
        <v>2856</v>
      </c>
      <c r="I85" s="67">
        <f t="shared" si="22"/>
        <v>3262</v>
      </c>
      <c r="J85" s="67">
        <f t="shared" si="22"/>
        <v>3593</v>
      </c>
      <c r="K85" s="67">
        <f t="shared" si="22"/>
        <v>3954</v>
      </c>
      <c r="L85" s="67">
        <f t="shared" si="22"/>
        <v>4306</v>
      </c>
      <c r="M85" s="67">
        <f t="shared" si="22"/>
        <v>4532</v>
      </c>
      <c r="N85" s="67">
        <f t="shared" si="22"/>
        <v>4704</v>
      </c>
      <c r="O85" s="67">
        <f t="shared" si="22"/>
        <v>4685</v>
      </c>
      <c r="P85" s="67">
        <f t="shared" si="22"/>
        <v>4755</v>
      </c>
      <c r="Q85" s="67">
        <f t="shared" si="22"/>
        <v>4709</v>
      </c>
      <c r="R85" s="67">
        <f t="shared" si="22"/>
        <v>4760</v>
      </c>
      <c r="S85" s="67">
        <f t="shared" si="22"/>
        <v>4681</v>
      </c>
      <c r="T85" s="67">
        <f t="shared" si="22"/>
        <v>4818</v>
      </c>
      <c r="U85" s="67">
        <f t="shared" si="22"/>
        <v>4857</v>
      </c>
      <c r="V85" s="67">
        <f t="shared" si="22"/>
        <v>4945</v>
      </c>
      <c r="W85" s="67">
        <f t="shared" si="22"/>
        <v>4997</v>
      </c>
      <c r="X85" s="67">
        <f t="shared" si="22"/>
        <v>5354</v>
      </c>
      <c r="Y85" s="67">
        <f t="shared" si="22"/>
        <v>5468</v>
      </c>
      <c r="Z85" s="67">
        <f t="shared" si="22"/>
        <v>5633</v>
      </c>
      <c r="AA85" s="67">
        <f t="shared" si="22"/>
        <v>5942</v>
      </c>
      <c r="AB85" s="67">
        <f t="shared" si="22"/>
        <v>6610</v>
      </c>
      <c r="AC85" s="67">
        <f t="shared" si="22"/>
        <v>7234</v>
      </c>
      <c r="AD85" s="67">
        <f t="shared" si="22"/>
        <v>7879</v>
      </c>
      <c r="AE85" s="67">
        <f t="shared" si="22"/>
        <v>8328</v>
      </c>
      <c r="AF85" s="67">
        <f t="shared" si="22"/>
        <v>8732</v>
      </c>
      <c r="AG85" s="67">
        <f t="shared" si="22"/>
        <v>9029</v>
      </c>
      <c r="AH85" s="67">
        <f t="shared" si="22"/>
        <v>9293</v>
      </c>
      <c r="AI85" s="67">
        <f t="shared" si="22"/>
        <v>9508</v>
      </c>
      <c r="AJ85" s="67">
        <f t="shared" si="22"/>
        <v>9865</v>
      </c>
      <c r="AK85" s="67">
        <f t="shared" si="22"/>
        <v>10263</v>
      </c>
      <c r="AL85" s="67">
        <f t="shared" si="22"/>
        <v>10710</v>
      </c>
      <c r="AM85" s="67">
        <f t="shared" si="22"/>
        <v>11160</v>
      </c>
      <c r="AN85" s="67">
        <f t="shared" si="22"/>
        <v>11546</v>
      </c>
      <c r="AO85" s="67">
        <f t="shared" si="22"/>
        <v>12271</v>
      </c>
      <c r="AP85" s="67">
        <f t="shared" si="22"/>
        <v>12704</v>
      </c>
      <c r="AQ85" s="67">
        <f t="shared" si="22"/>
        <v>13484</v>
      </c>
      <c r="AR85" s="67">
        <f t="shared" si="22"/>
        <v>14414</v>
      </c>
      <c r="AS85" s="67">
        <f t="shared" si="22"/>
        <v>15498</v>
      </c>
      <c r="AT85" s="67">
        <f t="shared" si="22"/>
        <v>16606</v>
      </c>
      <c r="AU85" s="67">
        <f t="shared" si="22"/>
        <v>18137</v>
      </c>
      <c r="AV85" s="67">
        <f t="shared" si="22"/>
        <v>19470</v>
      </c>
      <c r="AW85" s="67">
        <f t="shared" si="22"/>
        <v>22939</v>
      </c>
      <c r="AX85" s="67">
        <f t="shared" si="22"/>
        <v>25502</v>
      </c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24"/>
      <c r="CI85" s="24"/>
      <c r="CJ85" s="24"/>
      <c r="CK85" s="24"/>
      <c r="CL85" s="24"/>
      <c r="CM85" s="24"/>
      <c r="CN85" s="24"/>
      <c r="CO85" s="24"/>
      <c r="CP85" s="24"/>
      <c r="CQ85" s="24"/>
    </row>
    <row r="86" spans="1:95" s="5" customFormat="1" ht="24.95" customHeight="1" x14ac:dyDescent="0.3">
      <c r="A86" s="54" t="s">
        <v>2</v>
      </c>
      <c r="B86" s="52">
        <v>495</v>
      </c>
      <c r="C86" s="52">
        <v>621</v>
      </c>
      <c r="D86" s="52">
        <v>805</v>
      </c>
      <c r="E86" s="52">
        <v>978</v>
      </c>
      <c r="F86" s="52">
        <v>1135</v>
      </c>
      <c r="G86" s="52">
        <v>1172</v>
      </c>
      <c r="H86" s="52">
        <v>1274</v>
      </c>
      <c r="I86" s="52">
        <v>1480</v>
      </c>
      <c r="J86" s="52">
        <v>1597</v>
      </c>
      <c r="K86" s="52">
        <v>1775</v>
      </c>
      <c r="L86" s="52">
        <v>1957</v>
      </c>
      <c r="M86" s="52">
        <v>2063</v>
      </c>
      <c r="N86" s="52">
        <v>2153</v>
      </c>
      <c r="O86" s="52">
        <v>2174</v>
      </c>
      <c r="P86" s="52">
        <v>2195</v>
      </c>
      <c r="Q86" s="52">
        <v>2194</v>
      </c>
      <c r="R86" s="52">
        <v>2205</v>
      </c>
      <c r="S86" s="52">
        <v>2154</v>
      </c>
      <c r="T86" s="52">
        <v>2218</v>
      </c>
      <c r="U86" s="52">
        <v>2243</v>
      </c>
      <c r="V86" s="52">
        <v>2263</v>
      </c>
      <c r="W86" s="52">
        <v>2272</v>
      </c>
      <c r="X86" s="52">
        <v>2442</v>
      </c>
      <c r="Y86" s="55">
        <v>2456</v>
      </c>
      <c r="Z86" s="55">
        <v>2483</v>
      </c>
      <c r="AA86" s="55">
        <v>2538</v>
      </c>
      <c r="AB86" s="55">
        <v>2773</v>
      </c>
      <c r="AC86" s="55">
        <v>2915</v>
      </c>
      <c r="AD86" s="55">
        <v>3135</v>
      </c>
      <c r="AE86" s="55">
        <v>3232</v>
      </c>
      <c r="AF86" s="55">
        <v>3290</v>
      </c>
      <c r="AG86" s="55">
        <v>3246</v>
      </c>
      <c r="AH86" s="55">
        <v>3209</v>
      </c>
      <c r="AI86" s="55">
        <v>3119</v>
      </c>
      <c r="AJ86" s="55">
        <v>3092</v>
      </c>
      <c r="AK86" s="55">
        <v>3093</v>
      </c>
      <c r="AL86" s="55">
        <v>3065</v>
      </c>
      <c r="AM86" s="55">
        <v>3099</v>
      </c>
      <c r="AN86" s="55">
        <v>3138</v>
      </c>
      <c r="AO86" s="55">
        <v>3234</v>
      </c>
      <c r="AP86" s="55">
        <v>3257</v>
      </c>
      <c r="AQ86" s="55">
        <v>3472</v>
      </c>
      <c r="AR86" s="55">
        <v>3623</v>
      </c>
      <c r="AS86" s="55">
        <v>3823</v>
      </c>
      <c r="AT86" s="55">
        <v>4024</v>
      </c>
      <c r="AU86" s="55">
        <v>4272</v>
      </c>
      <c r="AV86" s="55">
        <v>4513</v>
      </c>
      <c r="AW86" s="55">
        <v>5733</v>
      </c>
      <c r="AX86" s="55">
        <v>6594</v>
      </c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28"/>
      <c r="CI86" s="28"/>
      <c r="CJ86" s="28"/>
      <c r="CK86" s="28"/>
      <c r="CL86" s="28"/>
      <c r="CM86" s="28"/>
      <c r="CN86" s="28"/>
      <c r="CO86" s="28"/>
      <c r="CP86" s="28"/>
      <c r="CQ86" s="28"/>
    </row>
    <row r="87" spans="1:95" s="5" customFormat="1" ht="24.95" customHeight="1" x14ac:dyDescent="0.3">
      <c r="A87" s="54" t="s">
        <v>3</v>
      </c>
      <c r="B87" s="52">
        <v>546</v>
      </c>
      <c r="C87" s="52">
        <v>660</v>
      </c>
      <c r="D87" s="52">
        <v>845</v>
      </c>
      <c r="E87" s="52">
        <v>1128</v>
      </c>
      <c r="F87" s="52">
        <v>1339</v>
      </c>
      <c r="G87" s="52">
        <v>1493</v>
      </c>
      <c r="H87" s="52">
        <v>1582</v>
      </c>
      <c r="I87" s="52">
        <v>1782</v>
      </c>
      <c r="J87" s="52">
        <v>1996</v>
      </c>
      <c r="K87" s="52">
        <v>2179</v>
      </c>
      <c r="L87" s="52">
        <v>2349</v>
      </c>
      <c r="M87" s="52">
        <v>2469</v>
      </c>
      <c r="N87" s="52">
        <v>2551</v>
      </c>
      <c r="O87" s="52">
        <v>2511</v>
      </c>
      <c r="P87" s="52">
        <v>2560</v>
      </c>
      <c r="Q87" s="52">
        <v>2515</v>
      </c>
      <c r="R87" s="52">
        <v>2555</v>
      </c>
      <c r="S87" s="52">
        <v>2527</v>
      </c>
      <c r="T87" s="52">
        <v>2600</v>
      </c>
      <c r="U87" s="52">
        <v>2614</v>
      </c>
      <c r="V87" s="52">
        <v>2682</v>
      </c>
      <c r="W87" s="52">
        <v>2725</v>
      </c>
      <c r="X87" s="52">
        <v>2912</v>
      </c>
      <c r="Y87" s="55">
        <v>3012</v>
      </c>
      <c r="Z87" s="55">
        <v>3150</v>
      </c>
      <c r="AA87" s="55">
        <v>3404</v>
      </c>
      <c r="AB87" s="55">
        <v>3837</v>
      </c>
      <c r="AC87" s="55">
        <v>4319</v>
      </c>
      <c r="AD87" s="55">
        <v>4744</v>
      </c>
      <c r="AE87" s="55">
        <v>5096</v>
      </c>
      <c r="AF87" s="55">
        <v>5442</v>
      </c>
      <c r="AG87" s="55">
        <v>5783</v>
      </c>
      <c r="AH87" s="55">
        <v>6084</v>
      </c>
      <c r="AI87" s="55">
        <v>6389</v>
      </c>
      <c r="AJ87" s="55">
        <v>6773</v>
      </c>
      <c r="AK87" s="55">
        <v>7170</v>
      </c>
      <c r="AL87" s="55">
        <v>7645</v>
      </c>
      <c r="AM87" s="55">
        <v>8061</v>
      </c>
      <c r="AN87" s="55">
        <v>8408</v>
      </c>
      <c r="AO87" s="55">
        <v>9037</v>
      </c>
      <c r="AP87" s="55">
        <v>9447</v>
      </c>
      <c r="AQ87" s="55">
        <v>10012</v>
      </c>
      <c r="AR87" s="55">
        <v>10791</v>
      </c>
      <c r="AS87" s="55">
        <v>11675</v>
      </c>
      <c r="AT87" s="55">
        <v>12582</v>
      </c>
      <c r="AU87" s="55">
        <v>13865</v>
      </c>
      <c r="AV87" s="55">
        <v>14957</v>
      </c>
      <c r="AW87" s="55">
        <v>17206</v>
      </c>
      <c r="AX87" s="55">
        <v>18908</v>
      </c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28"/>
      <c r="CI87" s="28"/>
      <c r="CJ87" s="28"/>
      <c r="CK87" s="28"/>
      <c r="CL87" s="28"/>
      <c r="CM87" s="28"/>
      <c r="CN87" s="28"/>
      <c r="CO87" s="28"/>
      <c r="CP87" s="28"/>
      <c r="CQ87" s="28"/>
    </row>
    <row r="88" spans="1:95" s="10" customFormat="1" ht="24.95" customHeight="1" x14ac:dyDescent="0.3">
      <c r="A88" s="61" t="s">
        <v>5</v>
      </c>
      <c r="B88" s="67">
        <f>SUM(B89,B90)</f>
        <v>7309</v>
      </c>
      <c r="C88" s="67">
        <f t="shared" ref="C88:AX88" si="23">SUM(C89,C90)</f>
        <v>8125</v>
      </c>
      <c r="D88" s="67">
        <f t="shared" si="23"/>
        <v>8440</v>
      </c>
      <c r="E88" s="67">
        <f t="shared" si="23"/>
        <v>9845</v>
      </c>
      <c r="F88" s="67">
        <f t="shared" si="23"/>
        <v>10541</v>
      </c>
      <c r="G88" s="67">
        <f t="shared" si="23"/>
        <v>9811</v>
      </c>
      <c r="H88" s="67">
        <f t="shared" si="23"/>
        <v>8500</v>
      </c>
      <c r="I88" s="67">
        <f t="shared" si="23"/>
        <v>7752</v>
      </c>
      <c r="J88" s="67">
        <f t="shared" si="23"/>
        <v>6559</v>
      </c>
      <c r="K88" s="67">
        <f t="shared" si="23"/>
        <v>5938</v>
      </c>
      <c r="L88" s="67">
        <f t="shared" si="23"/>
        <v>5552</v>
      </c>
      <c r="M88" s="67">
        <f t="shared" si="23"/>
        <v>5250</v>
      </c>
      <c r="N88" s="67">
        <f t="shared" si="23"/>
        <v>5004</v>
      </c>
      <c r="O88" s="67">
        <f t="shared" si="23"/>
        <v>4171</v>
      </c>
      <c r="P88" s="67">
        <f t="shared" si="23"/>
        <v>4074</v>
      </c>
      <c r="Q88" s="67">
        <f t="shared" si="23"/>
        <v>3524</v>
      </c>
      <c r="R88" s="67">
        <f t="shared" si="23"/>
        <v>3439</v>
      </c>
      <c r="S88" s="67">
        <f t="shared" si="23"/>
        <v>2972</v>
      </c>
      <c r="T88" s="67">
        <f t="shared" si="23"/>
        <v>2237</v>
      </c>
      <c r="U88" s="67">
        <f t="shared" si="23"/>
        <v>1826</v>
      </c>
      <c r="V88" s="67">
        <f t="shared" si="23"/>
        <v>2487</v>
      </c>
      <c r="W88" s="67">
        <f t="shared" si="23"/>
        <v>2120</v>
      </c>
      <c r="X88" s="67">
        <f t="shared" si="23"/>
        <v>1631</v>
      </c>
      <c r="Y88" s="67">
        <f t="shared" si="23"/>
        <v>1257</v>
      </c>
      <c r="Z88" s="67">
        <f t="shared" si="23"/>
        <v>932</v>
      </c>
      <c r="AA88" s="67">
        <f t="shared" si="23"/>
        <v>621</v>
      </c>
      <c r="AB88" s="67">
        <f t="shared" si="23"/>
        <v>473</v>
      </c>
      <c r="AC88" s="67">
        <f t="shared" si="23"/>
        <v>427</v>
      </c>
      <c r="AD88" s="67">
        <f t="shared" si="23"/>
        <v>405</v>
      </c>
      <c r="AE88" s="67">
        <f t="shared" si="23"/>
        <v>439</v>
      </c>
      <c r="AF88" s="67">
        <f t="shared" si="23"/>
        <v>307</v>
      </c>
      <c r="AG88" s="67">
        <f t="shared" si="23"/>
        <v>242</v>
      </c>
      <c r="AH88" s="67">
        <f t="shared" si="23"/>
        <v>197</v>
      </c>
      <c r="AI88" s="67">
        <f t="shared" si="23"/>
        <v>144</v>
      </c>
      <c r="AJ88" s="67">
        <f t="shared" si="23"/>
        <v>126</v>
      </c>
      <c r="AK88" s="67">
        <f t="shared" si="23"/>
        <v>102</v>
      </c>
      <c r="AL88" s="67">
        <f t="shared" si="23"/>
        <v>99</v>
      </c>
      <c r="AM88" s="67">
        <f t="shared" si="23"/>
        <v>0</v>
      </c>
      <c r="AN88" s="67">
        <f t="shared" si="23"/>
        <v>0</v>
      </c>
      <c r="AO88" s="67">
        <f t="shared" si="23"/>
        <v>0</v>
      </c>
      <c r="AP88" s="67">
        <f t="shared" si="23"/>
        <v>0</v>
      </c>
      <c r="AQ88" s="67">
        <f t="shared" si="23"/>
        <v>0</v>
      </c>
      <c r="AR88" s="67">
        <f t="shared" si="23"/>
        <v>0</v>
      </c>
      <c r="AS88" s="67">
        <f t="shared" si="23"/>
        <v>0</v>
      </c>
      <c r="AT88" s="67">
        <f t="shared" si="23"/>
        <v>0</v>
      </c>
      <c r="AU88" s="67">
        <f t="shared" si="23"/>
        <v>0</v>
      </c>
      <c r="AV88" s="67">
        <f t="shared" si="23"/>
        <v>0</v>
      </c>
      <c r="AW88" s="67">
        <f t="shared" si="23"/>
        <v>0</v>
      </c>
      <c r="AX88" s="67">
        <f t="shared" si="23"/>
        <v>0</v>
      </c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24"/>
      <c r="CI88" s="24"/>
      <c r="CJ88" s="24"/>
      <c r="CK88" s="24"/>
      <c r="CL88" s="24"/>
      <c r="CM88" s="24"/>
      <c r="CN88" s="24"/>
      <c r="CO88" s="24"/>
      <c r="CP88" s="24"/>
      <c r="CQ88" s="24"/>
    </row>
    <row r="89" spans="1:95" s="5" customFormat="1" ht="24.95" customHeight="1" x14ac:dyDescent="0.3">
      <c r="A89" s="54" t="s">
        <v>2</v>
      </c>
      <c r="B89" s="52">
        <v>7249</v>
      </c>
      <c r="C89" s="52">
        <v>8054</v>
      </c>
      <c r="D89" s="52">
        <f>7856+516</f>
        <v>8372</v>
      </c>
      <c r="E89" s="52">
        <f>9208+565</f>
        <v>9773</v>
      </c>
      <c r="F89" s="52">
        <f>9813+657</f>
        <v>10470</v>
      </c>
      <c r="G89" s="52">
        <f>9119+629</f>
        <v>9748</v>
      </c>
      <c r="H89" s="52">
        <f>7834+601</f>
        <v>8435</v>
      </c>
      <c r="I89" s="52">
        <f>7122+548</f>
        <v>7670</v>
      </c>
      <c r="J89" s="52">
        <f>6016+489</f>
        <v>6505</v>
      </c>
      <c r="K89" s="52">
        <f>5439+450</f>
        <v>5889</v>
      </c>
      <c r="L89" s="52">
        <f>468+5036</f>
        <v>5504</v>
      </c>
      <c r="M89" s="52">
        <f>450+4750</f>
        <v>5200</v>
      </c>
      <c r="N89" s="52">
        <f>427+4529</f>
        <v>4956</v>
      </c>
      <c r="O89" s="52">
        <f>397+3736</f>
        <v>4133</v>
      </c>
      <c r="P89" s="52">
        <f>400+3639</f>
        <v>4039</v>
      </c>
      <c r="Q89" s="52">
        <f>257+3241</f>
        <v>3498</v>
      </c>
      <c r="R89" s="52">
        <f>320+3100</f>
        <v>3420</v>
      </c>
      <c r="S89" s="52">
        <f>297+2663</f>
        <v>2960</v>
      </c>
      <c r="T89" s="52">
        <f>284+1940</f>
        <v>2224</v>
      </c>
      <c r="U89" s="52">
        <f>233+1584</f>
        <v>1817</v>
      </c>
      <c r="V89" s="52">
        <f>218+2260</f>
        <v>2478</v>
      </c>
      <c r="W89" s="52">
        <f>205+1907</f>
        <v>2112</v>
      </c>
      <c r="X89" s="52">
        <f>190+1436</f>
        <v>1626</v>
      </c>
      <c r="Y89" s="55">
        <f>156+1096</f>
        <v>1252</v>
      </c>
      <c r="Z89" s="55">
        <f>138+790</f>
        <v>928</v>
      </c>
      <c r="AA89" s="55">
        <v>619</v>
      </c>
      <c r="AB89" s="55">
        <v>470</v>
      </c>
      <c r="AC89" s="55">
        <v>424</v>
      </c>
      <c r="AD89" s="55">
        <v>404</v>
      </c>
      <c r="AE89" s="55">
        <v>438</v>
      </c>
      <c r="AF89" s="55">
        <v>305</v>
      </c>
      <c r="AG89" s="55">
        <v>240</v>
      </c>
      <c r="AH89" s="55">
        <v>195</v>
      </c>
      <c r="AI89" s="55">
        <v>142</v>
      </c>
      <c r="AJ89" s="55">
        <v>125</v>
      </c>
      <c r="AK89" s="55">
        <v>101</v>
      </c>
      <c r="AL89" s="55">
        <v>98</v>
      </c>
      <c r="AM89" s="55">
        <v>0</v>
      </c>
      <c r="AN89" s="55">
        <v>0</v>
      </c>
      <c r="AO89" s="55">
        <v>0</v>
      </c>
      <c r="AP89" s="55">
        <v>0</v>
      </c>
      <c r="AQ89" s="55">
        <v>0</v>
      </c>
      <c r="AR89" s="55">
        <v>0</v>
      </c>
      <c r="AS89" s="55">
        <v>0</v>
      </c>
      <c r="AT89" s="55">
        <v>0</v>
      </c>
      <c r="AU89" s="55">
        <v>0</v>
      </c>
      <c r="AV89" s="55">
        <v>0</v>
      </c>
      <c r="AW89" s="55">
        <v>0</v>
      </c>
      <c r="AX89" s="55">
        <v>0</v>
      </c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28"/>
      <c r="CI89" s="28"/>
      <c r="CJ89" s="28"/>
      <c r="CK89" s="28"/>
      <c r="CL89" s="28"/>
      <c r="CM89" s="28"/>
      <c r="CN89" s="28"/>
      <c r="CO89" s="28"/>
      <c r="CP89" s="28"/>
      <c r="CQ89" s="28"/>
    </row>
    <row r="90" spans="1:95" s="5" customFormat="1" ht="24.95" customHeight="1" thickBot="1" x14ac:dyDescent="0.35">
      <c r="A90" s="56" t="s">
        <v>3</v>
      </c>
      <c r="B90" s="57">
        <v>60</v>
      </c>
      <c r="C90" s="57">
        <v>71</v>
      </c>
      <c r="D90" s="57">
        <f>57+11</f>
        <v>68</v>
      </c>
      <c r="E90" s="57">
        <f>62+10</f>
        <v>72</v>
      </c>
      <c r="F90" s="57">
        <f>60+11</f>
        <v>71</v>
      </c>
      <c r="G90" s="57">
        <f>53+10</f>
        <v>63</v>
      </c>
      <c r="H90" s="57">
        <f>56+9</f>
        <v>65</v>
      </c>
      <c r="I90" s="57">
        <f>58+24</f>
        <v>82</v>
      </c>
      <c r="J90" s="57">
        <f>44+10</f>
        <v>54</v>
      </c>
      <c r="K90" s="57">
        <f>39+10</f>
        <v>49</v>
      </c>
      <c r="L90" s="57">
        <f>10+38</f>
        <v>48</v>
      </c>
      <c r="M90" s="57">
        <f>13+37</f>
        <v>50</v>
      </c>
      <c r="N90" s="57">
        <f>11+37</f>
        <v>48</v>
      </c>
      <c r="O90" s="57">
        <f>10+28</f>
        <v>38</v>
      </c>
      <c r="P90" s="57">
        <f>8+27</f>
        <v>35</v>
      </c>
      <c r="Q90" s="57">
        <f>5+21</f>
        <v>26</v>
      </c>
      <c r="R90" s="57">
        <f>2+17</f>
        <v>19</v>
      </c>
      <c r="S90" s="57">
        <v>12</v>
      </c>
      <c r="T90" s="57">
        <f>3+10</f>
        <v>13</v>
      </c>
      <c r="U90" s="57">
        <f>4+5</f>
        <v>9</v>
      </c>
      <c r="V90" s="57">
        <f>2+7</f>
        <v>9</v>
      </c>
      <c r="W90" s="57">
        <f>2+6</f>
        <v>8</v>
      </c>
      <c r="X90" s="57">
        <f>2+3</f>
        <v>5</v>
      </c>
      <c r="Y90" s="58">
        <f>1+4</f>
        <v>5</v>
      </c>
      <c r="Z90" s="58">
        <f>1+3</f>
        <v>4</v>
      </c>
      <c r="AA90" s="58">
        <v>2</v>
      </c>
      <c r="AB90" s="58">
        <v>3</v>
      </c>
      <c r="AC90" s="58">
        <v>3</v>
      </c>
      <c r="AD90" s="58">
        <v>1</v>
      </c>
      <c r="AE90" s="58">
        <v>1</v>
      </c>
      <c r="AF90" s="58">
        <v>2</v>
      </c>
      <c r="AG90" s="58">
        <v>2</v>
      </c>
      <c r="AH90" s="58">
        <v>2</v>
      </c>
      <c r="AI90" s="58">
        <v>2</v>
      </c>
      <c r="AJ90" s="58">
        <v>1</v>
      </c>
      <c r="AK90" s="58">
        <v>1</v>
      </c>
      <c r="AL90" s="58">
        <v>1</v>
      </c>
      <c r="AM90" s="58">
        <v>0</v>
      </c>
      <c r="AN90" s="58">
        <v>0</v>
      </c>
      <c r="AO90" s="58">
        <v>0</v>
      </c>
      <c r="AP90" s="58">
        <v>0</v>
      </c>
      <c r="AQ90" s="58">
        <v>0</v>
      </c>
      <c r="AR90" s="58">
        <v>0</v>
      </c>
      <c r="AS90" s="58">
        <v>0</v>
      </c>
      <c r="AT90" s="58">
        <v>0</v>
      </c>
      <c r="AU90" s="58">
        <v>0</v>
      </c>
      <c r="AV90" s="58">
        <v>0</v>
      </c>
      <c r="AW90" s="58">
        <v>0</v>
      </c>
      <c r="AX90" s="58">
        <v>0</v>
      </c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28"/>
      <c r="CI90" s="28"/>
      <c r="CJ90" s="28"/>
      <c r="CK90" s="28"/>
      <c r="CL90" s="28"/>
      <c r="CM90" s="28"/>
      <c r="CN90" s="28"/>
      <c r="CO90" s="28"/>
      <c r="CP90" s="28"/>
      <c r="CQ90" s="28"/>
    </row>
    <row r="91" spans="1:95" s="5" customFormat="1" ht="24.95" customHeight="1" x14ac:dyDescent="0.3">
      <c r="A91" s="59" t="s">
        <v>63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43"/>
      <c r="AX91" s="43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28"/>
      <c r="CI91" s="28"/>
      <c r="CJ91" s="28"/>
      <c r="CK91" s="28"/>
      <c r="CL91" s="28"/>
      <c r="CM91" s="28"/>
      <c r="CN91" s="28"/>
      <c r="CO91" s="28"/>
      <c r="CP91" s="28"/>
      <c r="CQ91" s="28"/>
    </row>
    <row r="92" spans="1:95" s="10" customFormat="1" ht="24.95" customHeight="1" x14ac:dyDescent="0.2">
      <c r="A92" s="51" t="s">
        <v>1</v>
      </c>
      <c r="B92" s="67">
        <f>SUM(B93,B94)</f>
        <v>19030</v>
      </c>
      <c r="C92" s="67">
        <f t="shared" ref="C92:AX92" si="24">SUM(C93,C94)</f>
        <v>19181</v>
      </c>
      <c r="D92" s="67">
        <f t="shared" si="24"/>
        <v>18477</v>
      </c>
      <c r="E92" s="67">
        <f t="shared" si="24"/>
        <v>17931</v>
      </c>
      <c r="F92" s="67">
        <f t="shared" si="24"/>
        <v>17751</v>
      </c>
      <c r="G92" s="67">
        <f t="shared" si="24"/>
        <v>19901</v>
      </c>
      <c r="H92" s="67">
        <f t="shared" si="24"/>
        <v>22745</v>
      </c>
      <c r="I92" s="67">
        <f t="shared" si="24"/>
        <v>26410</v>
      </c>
      <c r="J92" s="67">
        <f t="shared" si="24"/>
        <v>28713</v>
      </c>
      <c r="K92" s="67">
        <f t="shared" si="24"/>
        <v>30787</v>
      </c>
      <c r="L92" s="67">
        <f t="shared" si="24"/>
        <v>31757</v>
      </c>
      <c r="M92" s="67">
        <f t="shared" si="24"/>
        <v>32555</v>
      </c>
      <c r="N92" s="67">
        <f t="shared" si="24"/>
        <v>33147</v>
      </c>
      <c r="O92" s="67">
        <f t="shared" si="24"/>
        <v>33574</v>
      </c>
      <c r="P92" s="67">
        <f t="shared" si="24"/>
        <v>33831</v>
      </c>
      <c r="Q92" s="67">
        <f t="shared" si="24"/>
        <v>34117</v>
      </c>
      <c r="R92" s="67">
        <f t="shared" si="24"/>
        <v>34535</v>
      </c>
      <c r="S92" s="67">
        <f t="shared" si="24"/>
        <v>34644</v>
      </c>
      <c r="T92" s="67">
        <f t="shared" si="24"/>
        <v>34245</v>
      </c>
      <c r="U92" s="67">
        <f t="shared" si="24"/>
        <v>33744</v>
      </c>
      <c r="V92" s="67">
        <f t="shared" si="24"/>
        <v>32786</v>
      </c>
      <c r="W92" s="67">
        <f t="shared" si="24"/>
        <v>31690</v>
      </c>
      <c r="X92" s="67">
        <f t="shared" si="24"/>
        <v>31646</v>
      </c>
      <c r="Y92" s="72">
        <f t="shared" si="24"/>
        <v>30848</v>
      </c>
      <c r="Z92" s="72">
        <f t="shared" si="24"/>
        <v>30923</v>
      </c>
      <c r="AA92" s="72">
        <f t="shared" si="24"/>
        <v>30826</v>
      </c>
      <c r="AB92" s="72">
        <f t="shared" si="24"/>
        <v>29851</v>
      </c>
      <c r="AC92" s="72">
        <f t="shared" si="24"/>
        <v>28590</v>
      </c>
      <c r="AD92" s="72">
        <f t="shared" si="24"/>
        <v>27752</v>
      </c>
      <c r="AE92" s="72">
        <f t="shared" si="24"/>
        <v>27116</v>
      </c>
      <c r="AF92" s="72">
        <f t="shared" si="24"/>
        <v>27326</v>
      </c>
      <c r="AG92" s="72">
        <f t="shared" si="24"/>
        <v>28718</v>
      </c>
      <c r="AH92" s="72">
        <f t="shared" si="24"/>
        <v>31261</v>
      </c>
      <c r="AI92" s="72">
        <f t="shared" si="24"/>
        <v>32705</v>
      </c>
      <c r="AJ92" s="72">
        <f t="shared" si="24"/>
        <v>34211</v>
      </c>
      <c r="AK92" s="72">
        <f t="shared" si="24"/>
        <v>35308</v>
      </c>
      <c r="AL92" s="72">
        <f t="shared" si="24"/>
        <v>36091</v>
      </c>
      <c r="AM92" s="72">
        <f t="shared" si="24"/>
        <v>36565</v>
      </c>
      <c r="AN92" s="72">
        <f t="shared" si="24"/>
        <v>37851</v>
      </c>
      <c r="AO92" s="72">
        <f t="shared" si="24"/>
        <v>39003</v>
      </c>
      <c r="AP92" s="72">
        <f t="shared" si="24"/>
        <v>40630</v>
      </c>
      <c r="AQ92" s="72">
        <f t="shared" si="24"/>
        <v>42961</v>
      </c>
      <c r="AR92" s="72">
        <f t="shared" si="24"/>
        <v>45481</v>
      </c>
      <c r="AS92" s="72">
        <f t="shared" si="24"/>
        <v>47781</v>
      </c>
      <c r="AT92" s="72">
        <f t="shared" si="24"/>
        <v>51061</v>
      </c>
      <c r="AU92" s="72">
        <f t="shared" si="24"/>
        <v>55186</v>
      </c>
      <c r="AV92" s="72">
        <f t="shared" si="24"/>
        <v>58960</v>
      </c>
      <c r="AW92" s="72">
        <f t="shared" si="24"/>
        <v>61291</v>
      </c>
      <c r="AX92" s="72">
        <f t="shared" si="24"/>
        <v>64815</v>
      </c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24"/>
      <c r="CI92" s="24"/>
      <c r="CJ92" s="24"/>
      <c r="CK92" s="24"/>
      <c r="CL92" s="24"/>
      <c r="CM92" s="24"/>
      <c r="CN92" s="24"/>
      <c r="CO92" s="24"/>
      <c r="CP92" s="24"/>
      <c r="CQ92" s="24"/>
    </row>
    <row r="93" spans="1:95" s="5" customFormat="1" ht="24.95" customHeight="1" x14ac:dyDescent="0.3">
      <c r="A93" s="54" t="s">
        <v>2</v>
      </c>
      <c r="B93" s="52">
        <v>14135</v>
      </c>
      <c r="C93" s="52">
        <v>14240</v>
      </c>
      <c r="D93" s="52">
        <v>13462</v>
      </c>
      <c r="E93" s="52">
        <v>13014</v>
      </c>
      <c r="F93" s="52">
        <v>12878</v>
      </c>
      <c r="G93" s="52">
        <v>14097</v>
      </c>
      <c r="H93" s="52">
        <v>16079</v>
      </c>
      <c r="I93" s="52">
        <v>18909</v>
      </c>
      <c r="J93" s="52">
        <v>20691</v>
      </c>
      <c r="K93" s="52">
        <v>22567</v>
      </c>
      <c r="L93" s="52">
        <v>23260</v>
      </c>
      <c r="M93" s="52">
        <v>23724</v>
      </c>
      <c r="N93" s="52">
        <v>23947</v>
      </c>
      <c r="O93" s="52">
        <v>24116</v>
      </c>
      <c r="P93" s="52">
        <v>24191</v>
      </c>
      <c r="Q93" s="52">
        <v>24192</v>
      </c>
      <c r="R93" s="52">
        <v>24337</v>
      </c>
      <c r="S93" s="52">
        <v>24395</v>
      </c>
      <c r="T93" s="52">
        <v>24165</v>
      </c>
      <c r="U93" s="52">
        <v>23902</v>
      </c>
      <c r="V93" s="52">
        <v>23197</v>
      </c>
      <c r="W93" s="52">
        <v>22310</v>
      </c>
      <c r="X93" s="52">
        <v>22312</v>
      </c>
      <c r="Y93" s="55">
        <v>21645</v>
      </c>
      <c r="Z93" s="55">
        <v>21453</v>
      </c>
      <c r="AA93" s="55">
        <v>21272</v>
      </c>
      <c r="AB93" s="55">
        <v>20474</v>
      </c>
      <c r="AC93" s="55">
        <v>19427</v>
      </c>
      <c r="AD93" s="55">
        <v>18650</v>
      </c>
      <c r="AE93" s="55">
        <v>18134</v>
      </c>
      <c r="AF93" s="55">
        <v>18171</v>
      </c>
      <c r="AG93" s="55">
        <v>18997</v>
      </c>
      <c r="AH93" s="55">
        <v>20612</v>
      </c>
      <c r="AI93" s="55">
        <v>21333</v>
      </c>
      <c r="AJ93" s="55">
        <v>22182</v>
      </c>
      <c r="AK93" s="55">
        <v>22734</v>
      </c>
      <c r="AL93" s="55">
        <v>22960</v>
      </c>
      <c r="AM93" s="55">
        <v>22931</v>
      </c>
      <c r="AN93" s="55">
        <v>23295</v>
      </c>
      <c r="AO93" s="55">
        <v>23411</v>
      </c>
      <c r="AP93" s="55">
        <v>23682</v>
      </c>
      <c r="AQ93" s="55">
        <v>24554</v>
      </c>
      <c r="AR93" s="55">
        <v>25546</v>
      </c>
      <c r="AS93" s="55">
        <v>26335</v>
      </c>
      <c r="AT93" s="55">
        <v>27714</v>
      </c>
      <c r="AU93" s="55">
        <v>29487</v>
      </c>
      <c r="AV93" s="55">
        <v>31061</v>
      </c>
      <c r="AW93" s="55">
        <v>32148</v>
      </c>
      <c r="AX93" s="55">
        <v>33757</v>
      </c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28"/>
      <c r="CI93" s="28"/>
      <c r="CJ93" s="28"/>
      <c r="CK93" s="28"/>
      <c r="CL93" s="28"/>
      <c r="CM93" s="28"/>
      <c r="CN93" s="28"/>
      <c r="CO93" s="28"/>
      <c r="CP93" s="28"/>
      <c r="CQ93" s="28"/>
    </row>
    <row r="94" spans="1:95" s="5" customFormat="1" ht="24.95" customHeight="1" x14ac:dyDescent="0.3">
      <c r="A94" s="54" t="s">
        <v>3</v>
      </c>
      <c r="B94" s="52">
        <v>4895</v>
      </c>
      <c r="C94" s="52">
        <v>4941</v>
      </c>
      <c r="D94" s="52">
        <v>5015</v>
      </c>
      <c r="E94" s="52">
        <v>4917</v>
      </c>
      <c r="F94" s="52">
        <v>4873</v>
      </c>
      <c r="G94" s="52">
        <v>5804</v>
      </c>
      <c r="H94" s="52">
        <v>6666</v>
      </c>
      <c r="I94" s="52">
        <v>7501</v>
      </c>
      <c r="J94" s="52">
        <f>8022</f>
        <v>8022</v>
      </c>
      <c r="K94" s="52">
        <v>8220</v>
      </c>
      <c r="L94" s="52">
        <v>8497</v>
      </c>
      <c r="M94" s="52">
        <v>8831</v>
      </c>
      <c r="N94" s="52">
        <v>9200</v>
      </c>
      <c r="O94" s="52">
        <v>9458</v>
      </c>
      <c r="P94" s="52">
        <v>9640</v>
      </c>
      <c r="Q94" s="52">
        <v>9925</v>
      </c>
      <c r="R94" s="52">
        <v>10198</v>
      </c>
      <c r="S94" s="52">
        <v>10249</v>
      </c>
      <c r="T94" s="52">
        <v>10080</v>
      </c>
      <c r="U94" s="52">
        <v>9842</v>
      </c>
      <c r="V94" s="52">
        <v>9589</v>
      </c>
      <c r="W94" s="52">
        <v>9380</v>
      </c>
      <c r="X94" s="52">
        <v>9334</v>
      </c>
      <c r="Y94" s="55">
        <v>9203</v>
      </c>
      <c r="Z94" s="55">
        <v>9470</v>
      </c>
      <c r="AA94" s="55">
        <v>9554</v>
      </c>
      <c r="AB94" s="55">
        <v>9377</v>
      </c>
      <c r="AC94" s="55">
        <v>9163</v>
      </c>
      <c r="AD94" s="55">
        <v>9102</v>
      </c>
      <c r="AE94" s="55">
        <v>8982</v>
      </c>
      <c r="AF94" s="55">
        <v>9155</v>
      </c>
      <c r="AG94" s="55">
        <v>9721</v>
      </c>
      <c r="AH94" s="55">
        <v>10649</v>
      </c>
      <c r="AI94" s="55">
        <v>11372</v>
      </c>
      <c r="AJ94" s="55">
        <v>12029</v>
      </c>
      <c r="AK94" s="55">
        <v>12574</v>
      </c>
      <c r="AL94" s="55">
        <v>13131</v>
      </c>
      <c r="AM94" s="55">
        <v>13634</v>
      </c>
      <c r="AN94" s="55">
        <v>14556</v>
      </c>
      <c r="AO94" s="55">
        <v>15592</v>
      </c>
      <c r="AP94" s="55">
        <v>16948</v>
      </c>
      <c r="AQ94" s="55">
        <v>18407</v>
      </c>
      <c r="AR94" s="55">
        <v>19935</v>
      </c>
      <c r="AS94" s="55">
        <v>21446</v>
      </c>
      <c r="AT94" s="55">
        <v>23347</v>
      </c>
      <c r="AU94" s="55">
        <v>25699</v>
      </c>
      <c r="AV94" s="55">
        <v>27899</v>
      </c>
      <c r="AW94" s="55">
        <v>29143</v>
      </c>
      <c r="AX94" s="55">
        <v>31058</v>
      </c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28"/>
      <c r="CI94" s="28"/>
      <c r="CJ94" s="28"/>
      <c r="CK94" s="28"/>
      <c r="CL94" s="28"/>
      <c r="CM94" s="28"/>
      <c r="CN94" s="28"/>
      <c r="CO94" s="28"/>
      <c r="CP94" s="28"/>
      <c r="CQ94" s="28"/>
    </row>
    <row r="95" spans="1:95" s="10" customFormat="1" ht="24.95" customHeight="1" x14ac:dyDescent="0.2">
      <c r="A95" s="51" t="s">
        <v>4</v>
      </c>
      <c r="B95" s="67">
        <f>SUM(B96,B97)</f>
        <v>1759</v>
      </c>
      <c r="C95" s="67">
        <f t="shared" ref="C95:AX95" si="25">SUM(C96,C97)</f>
        <v>1850</v>
      </c>
      <c r="D95" s="67">
        <f t="shared" si="25"/>
        <v>1934</v>
      </c>
      <c r="E95" s="67">
        <f t="shared" si="25"/>
        <v>1981</v>
      </c>
      <c r="F95" s="67">
        <f t="shared" si="25"/>
        <v>2029</v>
      </c>
      <c r="G95" s="67">
        <f t="shared" si="25"/>
        <v>2496</v>
      </c>
      <c r="H95" s="67">
        <f t="shared" si="25"/>
        <v>3136</v>
      </c>
      <c r="I95" s="67">
        <f t="shared" si="25"/>
        <v>3901</v>
      </c>
      <c r="J95" s="67">
        <f t="shared" si="25"/>
        <v>4680</v>
      </c>
      <c r="K95" s="67">
        <f t="shared" si="25"/>
        <v>5323</v>
      </c>
      <c r="L95" s="67">
        <f t="shared" si="25"/>
        <v>5602</v>
      </c>
      <c r="M95" s="67">
        <f t="shared" si="25"/>
        <v>5957</v>
      </c>
      <c r="N95" s="67">
        <f t="shared" si="25"/>
        <v>6239</v>
      </c>
      <c r="O95" s="67">
        <f t="shared" si="25"/>
        <v>6542</v>
      </c>
      <c r="P95" s="67">
        <f t="shared" si="25"/>
        <v>6682</v>
      </c>
      <c r="Q95" s="67">
        <f t="shared" si="25"/>
        <v>6971</v>
      </c>
      <c r="R95" s="67">
        <f t="shared" si="25"/>
        <v>7175</v>
      </c>
      <c r="S95" s="67">
        <f t="shared" si="25"/>
        <v>7262</v>
      </c>
      <c r="T95" s="67">
        <f t="shared" si="25"/>
        <v>7093</v>
      </c>
      <c r="U95" s="67">
        <f t="shared" si="25"/>
        <v>7121</v>
      </c>
      <c r="V95" s="67">
        <f t="shared" si="25"/>
        <v>6920</v>
      </c>
      <c r="W95" s="67">
        <f t="shared" si="25"/>
        <v>6931</v>
      </c>
      <c r="X95" s="67">
        <f t="shared" si="25"/>
        <v>7057</v>
      </c>
      <c r="Y95" s="72">
        <f t="shared" si="25"/>
        <v>7173</v>
      </c>
      <c r="Z95" s="72">
        <f t="shared" si="25"/>
        <v>7428</v>
      </c>
      <c r="AA95" s="72">
        <f t="shared" si="25"/>
        <v>7529</v>
      </c>
      <c r="AB95" s="72">
        <f t="shared" si="25"/>
        <v>7511</v>
      </c>
      <c r="AC95" s="72">
        <f t="shared" si="25"/>
        <v>7488</v>
      </c>
      <c r="AD95" s="72">
        <f t="shared" si="25"/>
        <v>7529</v>
      </c>
      <c r="AE95" s="72">
        <f t="shared" si="25"/>
        <v>7644</v>
      </c>
      <c r="AF95" s="72">
        <f t="shared" si="25"/>
        <v>8021</v>
      </c>
      <c r="AG95" s="72">
        <f t="shared" si="25"/>
        <v>8896</v>
      </c>
      <c r="AH95" s="72">
        <f t="shared" si="25"/>
        <v>9849</v>
      </c>
      <c r="AI95" s="72">
        <f t="shared" si="25"/>
        <v>10589</v>
      </c>
      <c r="AJ95" s="72">
        <f t="shared" si="25"/>
        <v>11059</v>
      </c>
      <c r="AK95" s="72">
        <f t="shared" si="25"/>
        <v>11471</v>
      </c>
      <c r="AL95" s="72">
        <f t="shared" si="25"/>
        <v>11662</v>
      </c>
      <c r="AM95" s="72">
        <f t="shared" si="25"/>
        <v>12003</v>
      </c>
      <c r="AN95" s="72">
        <f t="shared" si="25"/>
        <v>12264</v>
      </c>
      <c r="AO95" s="72">
        <f t="shared" si="25"/>
        <v>12529</v>
      </c>
      <c r="AP95" s="72">
        <f t="shared" si="25"/>
        <v>13826</v>
      </c>
      <c r="AQ95" s="72">
        <f t="shared" si="25"/>
        <v>14988</v>
      </c>
      <c r="AR95" s="72">
        <f t="shared" si="25"/>
        <v>15922</v>
      </c>
      <c r="AS95" s="72">
        <f t="shared" si="25"/>
        <v>16819</v>
      </c>
      <c r="AT95" s="72">
        <f t="shared" si="25"/>
        <v>17928</v>
      </c>
      <c r="AU95" s="72">
        <f t="shared" si="25"/>
        <v>19621</v>
      </c>
      <c r="AV95" s="72">
        <f t="shared" si="25"/>
        <v>21079</v>
      </c>
      <c r="AW95" s="72">
        <f t="shared" si="25"/>
        <v>24826</v>
      </c>
      <c r="AX95" s="72">
        <f t="shared" si="25"/>
        <v>29182</v>
      </c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24"/>
      <c r="CI95" s="24"/>
      <c r="CJ95" s="24"/>
      <c r="CK95" s="24"/>
      <c r="CL95" s="24"/>
      <c r="CM95" s="24"/>
      <c r="CN95" s="24"/>
      <c r="CO95" s="24"/>
      <c r="CP95" s="24"/>
      <c r="CQ95" s="24"/>
    </row>
    <row r="96" spans="1:95" s="5" customFormat="1" ht="24.95" customHeight="1" x14ac:dyDescent="0.3">
      <c r="A96" s="54" t="s">
        <v>2</v>
      </c>
      <c r="B96" s="52">
        <v>959</v>
      </c>
      <c r="C96" s="52">
        <v>964</v>
      </c>
      <c r="D96" s="52">
        <v>983</v>
      </c>
      <c r="E96" s="52">
        <v>1030</v>
      </c>
      <c r="F96" s="52">
        <v>1062</v>
      </c>
      <c r="G96" s="52">
        <v>1280</v>
      </c>
      <c r="H96" s="52">
        <v>1623</v>
      </c>
      <c r="I96" s="52">
        <v>2101</v>
      </c>
      <c r="J96" s="52">
        <v>2674</v>
      </c>
      <c r="K96" s="52">
        <v>3141</v>
      </c>
      <c r="L96" s="52">
        <v>3356</v>
      </c>
      <c r="M96" s="52">
        <v>3555</v>
      </c>
      <c r="N96" s="52">
        <v>3710</v>
      </c>
      <c r="O96" s="52">
        <v>3779</v>
      </c>
      <c r="P96" s="52">
        <v>3819</v>
      </c>
      <c r="Q96" s="52">
        <v>3898</v>
      </c>
      <c r="R96" s="52">
        <v>3899</v>
      </c>
      <c r="S96" s="52">
        <v>3892</v>
      </c>
      <c r="T96" s="52">
        <v>3879</v>
      </c>
      <c r="U96" s="52">
        <v>3864</v>
      </c>
      <c r="V96" s="52">
        <v>3698</v>
      </c>
      <c r="W96" s="52">
        <v>3609</v>
      </c>
      <c r="X96" s="52">
        <v>3701</v>
      </c>
      <c r="Y96" s="55">
        <v>3724</v>
      </c>
      <c r="Z96" s="55">
        <v>3851</v>
      </c>
      <c r="AA96" s="55">
        <v>3877</v>
      </c>
      <c r="AB96" s="55">
        <v>3812</v>
      </c>
      <c r="AC96" s="55">
        <v>3712</v>
      </c>
      <c r="AD96" s="55">
        <v>3672</v>
      </c>
      <c r="AE96" s="55">
        <v>3605</v>
      </c>
      <c r="AF96" s="55">
        <v>3691</v>
      </c>
      <c r="AG96" s="55">
        <v>4048</v>
      </c>
      <c r="AH96" s="55">
        <v>4351</v>
      </c>
      <c r="AI96" s="55">
        <v>4597</v>
      </c>
      <c r="AJ96" s="55">
        <v>4681</v>
      </c>
      <c r="AK96" s="55">
        <v>4680</v>
      </c>
      <c r="AL96" s="55">
        <v>4535</v>
      </c>
      <c r="AM96" s="55">
        <v>4497</v>
      </c>
      <c r="AN96" s="55">
        <v>4291</v>
      </c>
      <c r="AO96" s="55">
        <v>4318</v>
      </c>
      <c r="AP96" s="55">
        <v>4449</v>
      </c>
      <c r="AQ96" s="55">
        <v>4599</v>
      </c>
      <c r="AR96" s="55">
        <v>4767</v>
      </c>
      <c r="AS96" s="55">
        <v>4903</v>
      </c>
      <c r="AT96" s="55">
        <v>5031</v>
      </c>
      <c r="AU96" s="55">
        <v>5331</v>
      </c>
      <c r="AV96" s="55">
        <v>5550</v>
      </c>
      <c r="AW96" s="55">
        <v>6714</v>
      </c>
      <c r="AX96" s="55">
        <v>8171</v>
      </c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28"/>
      <c r="CI96" s="28"/>
      <c r="CJ96" s="28"/>
      <c r="CK96" s="28"/>
      <c r="CL96" s="28"/>
      <c r="CM96" s="28"/>
      <c r="CN96" s="28"/>
      <c r="CO96" s="28"/>
      <c r="CP96" s="28"/>
      <c r="CQ96" s="28"/>
    </row>
    <row r="97" spans="1:95" s="5" customFormat="1" ht="24.95" customHeight="1" x14ac:dyDescent="0.3">
      <c r="A97" s="54" t="s">
        <v>3</v>
      </c>
      <c r="B97" s="52">
        <v>800</v>
      </c>
      <c r="C97" s="52">
        <v>886</v>
      </c>
      <c r="D97" s="52">
        <v>951</v>
      </c>
      <c r="E97" s="52">
        <v>951</v>
      </c>
      <c r="F97" s="52">
        <v>967</v>
      </c>
      <c r="G97" s="52">
        <v>1216</v>
      </c>
      <c r="H97" s="52">
        <v>1513</v>
      </c>
      <c r="I97" s="52">
        <v>1800</v>
      </c>
      <c r="J97" s="52">
        <v>2006</v>
      </c>
      <c r="K97" s="52">
        <v>2182</v>
      </c>
      <c r="L97" s="52">
        <v>2246</v>
      </c>
      <c r="M97" s="52">
        <v>2402</v>
      </c>
      <c r="N97" s="52">
        <v>2529</v>
      </c>
      <c r="O97" s="52">
        <v>2763</v>
      </c>
      <c r="P97" s="52">
        <v>2863</v>
      </c>
      <c r="Q97" s="52">
        <v>3073</v>
      </c>
      <c r="R97" s="52">
        <v>3276</v>
      </c>
      <c r="S97" s="52">
        <v>3370</v>
      </c>
      <c r="T97" s="52">
        <v>3214</v>
      </c>
      <c r="U97" s="52">
        <v>3257</v>
      </c>
      <c r="V97" s="52">
        <v>3222</v>
      </c>
      <c r="W97" s="52">
        <v>3322</v>
      </c>
      <c r="X97" s="52">
        <v>3356</v>
      </c>
      <c r="Y97" s="55">
        <v>3449</v>
      </c>
      <c r="Z97" s="55">
        <v>3577</v>
      </c>
      <c r="AA97" s="55">
        <v>3652</v>
      </c>
      <c r="AB97" s="55">
        <v>3699</v>
      </c>
      <c r="AC97" s="55">
        <v>3776</v>
      </c>
      <c r="AD97" s="55">
        <v>3857</v>
      </c>
      <c r="AE97" s="55">
        <v>4039</v>
      </c>
      <c r="AF97" s="55">
        <v>4330</v>
      </c>
      <c r="AG97" s="55">
        <v>4848</v>
      </c>
      <c r="AH97" s="55">
        <v>5498</v>
      </c>
      <c r="AI97" s="55">
        <v>5992</v>
      </c>
      <c r="AJ97" s="55">
        <v>6378</v>
      </c>
      <c r="AK97" s="55">
        <v>6791</v>
      </c>
      <c r="AL97" s="55">
        <v>7127</v>
      </c>
      <c r="AM97" s="55">
        <v>7506</v>
      </c>
      <c r="AN97" s="55">
        <v>7973</v>
      </c>
      <c r="AO97" s="55">
        <v>8211</v>
      </c>
      <c r="AP97" s="55">
        <v>9377</v>
      </c>
      <c r="AQ97" s="55">
        <v>10389</v>
      </c>
      <c r="AR97" s="55">
        <v>11155</v>
      </c>
      <c r="AS97" s="55">
        <v>11916</v>
      </c>
      <c r="AT97" s="55">
        <v>12897</v>
      </c>
      <c r="AU97" s="55">
        <v>14290</v>
      </c>
      <c r="AV97" s="55">
        <v>15529</v>
      </c>
      <c r="AW97" s="55">
        <v>18112</v>
      </c>
      <c r="AX97" s="55">
        <v>21011</v>
      </c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28"/>
      <c r="CI97" s="28"/>
      <c r="CJ97" s="28"/>
      <c r="CK97" s="28"/>
      <c r="CL97" s="28"/>
      <c r="CM97" s="28"/>
      <c r="CN97" s="28"/>
      <c r="CO97" s="28"/>
      <c r="CP97" s="28"/>
      <c r="CQ97" s="28"/>
    </row>
    <row r="98" spans="1:95" s="5" customFormat="1" ht="24.95" customHeight="1" x14ac:dyDescent="0.3">
      <c r="A98" s="51" t="s">
        <v>5</v>
      </c>
      <c r="B98" s="52">
        <f>SUM(B99,B100)</f>
        <v>9313</v>
      </c>
      <c r="C98" s="52">
        <f t="shared" ref="C98:AX98" si="26">SUM(C99,C100)</f>
        <v>8389</v>
      </c>
      <c r="D98" s="52">
        <f t="shared" si="26"/>
        <v>8180</v>
      </c>
      <c r="E98" s="52">
        <f t="shared" si="26"/>
        <v>6044</v>
      </c>
      <c r="F98" s="52">
        <f t="shared" si="26"/>
        <v>5728</v>
      </c>
      <c r="G98" s="52">
        <f t="shared" si="26"/>
        <v>5782</v>
      </c>
      <c r="H98" s="52">
        <f t="shared" si="26"/>
        <v>5574</v>
      </c>
      <c r="I98" s="52">
        <f t="shared" si="26"/>
        <v>5858</v>
      </c>
      <c r="J98" s="52">
        <f t="shared" si="26"/>
        <v>5783</v>
      </c>
      <c r="K98" s="52">
        <f t="shared" si="26"/>
        <v>6168</v>
      </c>
      <c r="L98" s="52">
        <f t="shared" si="26"/>
        <v>6007</v>
      </c>
      <c r="M98" s="52">
        <f t="shared" si="26"/>
        <v>5637</v>
      </c>
      <c r="N98" s="52">
        <f t="shared" si="26"/>
        <v>5286</v>
      </c>
      <c r="O98" s="52">
        <f t="shared" si="26"/>
        <v>5372</v>
      </c>
      <c r="P98" s="52">
        <f t="shared" si="26"/>
        <v>5204</v>
      </c>
      <c r="Q98" s="52">
        <f t="shared" si="26"/>
        <v>5548</v>
      </c>
      <c r="R98" s="52">
        <f t="shared" si="26"/>
        <v>4806</v>
      </c>
      <c r="S98" s="52">
        <f t="shared" si="26"/>
        <v>4677</v>
      </c>
      <c r="T98" s="52">
        <f t="shared" si="26"/>
        <v>4235</v>
      </c>
      <c r="U98" s="52">
        <f t="shared" si="26"/>
        <v>3420</v>
      </c>
      <c r="V98" s="52">
        <f t="shared" si="26"/>
        <v>3521</v>
      </c>
      <c r="W98" s="52">
        <f t="shared" si="26"/>
        <v>3123</v>
      </c>
      <c r="X98" s="52">
        <f t="shared" si="26"/>
        <v>2732</v>
      </c>
      <c r="Y98" s="55">
        <f t="shared" si="26"/>
        <v>2254</v>
      </c>
      <c r="Z98" s="55">
        <f t="shared" si="26"/>
        <v>1852</v>
      </c>
      <c r="AA98" s="55">
        <f t="shared" si="26"/>
        <v>1502</v>
      </c>
      <c r="AB98" s="55">
        <f t="shared" si="26"/>
        <v>1127</v>
      </c>
      <c r="AC98" s="55">
        <f t="shared" si="26"/>
        <v>821</v>
      </c>
      <c r="AD98" s="55">
        <f t="shared" si="26"/>
        <v>634</v>
      </c>
      <c r="AE98" s="55">
        <f t="shared" si="26"/>
        <v>491</v>
      </c>
      <c r="AF98" s="55">
        <f t="shared" si="26"/>
        <v>330</v>
      </c>
      <c r="AG98" s="55">
        <f t="shared" si="26"/>
        <v>250</v>
      </c>
      <c r="AH98" s="55">
        <f t="shared" si="26"/>
        <v>194</v>
      </c>
      <c r="AI98" s="55">
        <f t="shared" si="26"/>
        <v>169</v>
      </c>
      <c r="AJ98" s="55">
        <f t="shared" si="26"/>
        <v>152</v>
      </c>
      <c r="AK98" s="55">
        <f t="shared" si="26"/>
        <v>137</v>
      </c>
      <c r="AL98" s="55">
        <f t="shared" si="26"/>
        <v>119</v>
      </c>
      <c r="AM98" s="55">
        <f t="shared" si="26"/>
        <v>0</v>
      </c>
      <c r="AN98" s="55">
        <f t="shared" si="26"/>
        <v>0</v>
      </c>
      <c r="AO98" s="55">
        <f t="shared" si="26"/>
        <v>0</v>
      </c>
      <c r="AP98" s="55">
        <f t="shared" si="26"/>
        <v>0</v>
      </c>
      <c r="AQ98" s="55">
        <f t="shared" si="26"/>
        <v>0</v>
      </c>
      <c r="AR98" s="55">
        <f t="shared" si="26"/>
        <v>0</v>
      </c>
      <c r="AS98" s="55">
        <f t="shared" si="26"/>
        <v>0</v>
      </c>
      <c r="AT98" s="55">
        <f t="shared" si="26"/>
        <v>0</v>
      </c>
      <c r="AU98" s="55">
        <f t="shared" si="26"/>
        <v>0</v>
      </c>
      <c r="AV98" s="55">
        <f t="shared" si="26"/>
        <v>0</v>
      </c>
      <c r="AW98" s="55">
        <f t="shared" si="26"/>
        <v>0</v>
      </c>
      <c r="AX98" s="55">
        <f t="shared" si="26"/>
        <v>0</v>
      </c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28"/>
      <c r="CI98" s="28"/>
      <c r="CJ98" s="28"/>
      <c r="CK98" s="28"/>
      <c r="CL98" s="28"/>
      <c r="CM98" s="28"/>
      <c r="CN98" s="28"/>
      <c r="CO98" s="28"/>
      <c r="CP98" s="28"/>
      <c r="CQ98" s="28"/>
    </row>
    <row r="99" spans="1:95" s="5" customFormat="1" ht="24.95" customHeight="1" x14ac:dyDescent="0.3">
      <c r="A99" s="54" t="s">
        <v>2</v>
      </c>
      <c r="B99" s="52">
        <v>9176</v>
      </c>
      <c r="C99" s="52">
        <v>8261</v>
      </c>
      <c r="D99" s="52">
        <f>7319+736</f>
        <v>8055</v>
      </c>
      <c r="E99" s="52">
        <f>5371+580</f>
        <v>5951</v>
      </c>
      <c r="F99" s="52">
        <f>5120+527</f>
        <v>5647</v>
      </c>
      <c r="G99" s="52">
        <f>5194+514</f>
        <v>5708</v>
      </c>
      <c r="H99" s="52">
        <f>5006+483</f>
        <v>5489</v>
      </c>
      <c r="I99" s="52">
        <f>5271+503</f>
        <v>5774</v>
      </c>
      <c r="J99" s="52">
        <f>5213+485</f>
        <v>5698</v>
      </c>
      <c r="K99" s="52">
        <f>5568+515</f>
        <v>6083</v>
      </c>
      <c r="L99" s="52">
        <f>556+5378</f>
        <v>5934</v>
      </c>
      <c r="M99" s="52">
        <f>524+5043</f>
        <v>5567</v>
      </c>
      <c r="N99" s="52">
        <f>462+4775</f>
        <v>5237</v>
      </c>
      <c r="O99" s="52">
        <f>447+4871</f>
        <v>5318</v>
      </c>
      <c r="P99" s="52">
        <f>408+4744</f>
        <v>5152</v>
      </c>
      <c r="Q99" s="52">
        <f>393+5108</f>
        <v>5501</v>
      </c>
      <c r="R99" s="52">
        <f>370+4392</f>
        <v>4762</v>
      </c>
      <c r="S99" s="52">
        <f>360+4276</f>
        <v>4636</v>
      </c>
      <c r="T99" s="52">
        <f>347+3853</f>
        <v>4200</v>
      </c>
      <c r="U99" s="52">
        <f>344+3050</f>
        <v>3394</v>
      </c>
      <c r="V99" s="52">
        <f>305+3200</f>
        <v>3505</v>
      </c>
      <c r="W99" s="52">
        <f>258+2846</f>
        <v>3104</v>
      </c>
      <c r="X99" s="52">
        <f>251+2465</f>
        <v>2716</v>
      </c>
      <c r="Y99" s="55">
        <f>228+2013</f>
        <v>2241</v>
      </c>
      <c r="Z99" s="55">
        <f>197+1643</f>
        <v>1840</v>
      </c>
      <c r="AA99" s="55">
        <v>1495</v>
      </c>
      <c r="AB99" s="55">
        <v>1121</v>
      </c>
      <c r="AC99" s="55">
        <v>818</v>
      </c>
      <c r="AD99" s="55">
        <v>631</v>
      </c>
      <c r="AE99" s="55">
        <v>489</v>
      </c>
      <c r="AF99" s="55">
        <v>329</v>
      </c>
      <c r="AG99" s="55">
        <v>248</v>
      </c>
      <c r="AH99" s="55">
        <v>192</v>
      </c>
      <c r="AI99" s="55">
        <v>167</v>
      </c>
      <c r="AJ99" s="55">
        <v>152</v>
      </c>
      <c r="AK99" s="55">
        <v>134</v>
      </c>
      <c r="AL99" s="55">
        <v>118</v>
      </c>
      <c r="AM99" s="55">
        <v>0</v>
      </c>
      <c r="AN99" s="55">
        <v>0</v>
      </c>
      <c r="AO99" s="55">
        <v>0</v>
      </c>
      <c r="AP99" s="55">
        <v>0</v>
      </c>
      <c r="AQ99" s="55">
        <v>0</v>
      </c>
      <c r="AR99" s="55">
        <v>0</v>
      </c>
      <c r="AS99" s="55">
        <v>0</v>
      </c>
      <c r="AT99" s="55">
        <v>0</v>
      </c>
      <c r="AU99" s="55">
        <v>0</v>
      </c>
      <c r="AV99" s="55">
        <v>0</v>
      </c>
      <c r="AW99" s="55">
        <v>0</v>
      </c>
      <c r="AX99" s="55">
        <v>0</v>
      </c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28"/>
      <c r="CI99" s="28"/>
      <c r="CJ99" s="28"/>
      <c r="CK99" s="28"/>
      <c r="CL99" s="28"/>
      <c r="CM99" s="28"/>
      <c r="CN99" s="28"/>
      <c r="CO99" s="28"/>
      <c r="CP99" s="28"/>
      <c r="CQ99" s="28"/>
    </row>
    <row r="100" spans="1:95" s="5" customFormat="1" ht="24.95" customHeight="1" thickBot="1" x14ac:dyDescent="0.35">
      <c r="A100" s="56" t="s">
        <v>3</v>
      </c>
      <c r="B100" s="57">
        <v>137</v>
      </c>
      <c r="C100" s="57">
        <v>128</v>
      </c>
      <c r="D100" s="57">
        <f>98+27</f>
        <v>125</v>
      </c>
      <c r="E100" s="57">
        <f>71+22</f>
        <v>93</v>
      </c>
      <c r="F100" s="57">
        <f>63+18</f>
        <v>81</v>
      </c>
      <c r="G100" s="57">
        <f>57+17</f>
        <v>74</v>
      </c>
      <c r="H100" s="57">
        <f>69+16</f>
        <v>85</v>
      </c>
      <c r="I100" s="57">
        <f>64+20</f>
        <v>84</v>
      </c>
      <c r="J100" s="57">
        <f>74+11</f>
        <v>85</v>
      </c>
      <c r="K100" s="57">
        <f>74+11</f>
        <v>85</v>
      </c>
      <c r="L100" s="57">
        <f>8+65</f>
        <v>73</v>
      </c>
      <c r="M100" s="57">
        <f>8+62</f>
        <v>70</v>
      </c>
      <c r="N100" s="57">
        <f>9+40</f>
        <v>49</v>
      </c>
      <c r="O100" s="57">
        <f>11+43</f>
        <v>54</v>
      </c>
      <c r="P100" s="57">
        <f>13+39</f>
        <v>52</v>
      </c>
      <c r="Q100" s="57">
        <f>12+35</f>
        <v>47</v>
      </c>
      <c r="R100" s="57">
        <f>12+32</f>
        <v>44</v>
      </c>
      <c r="S100" s="57">
        <f>12+29</f>
        <v>41</v>
      </c>
      <c r="T100" s="57">
        <f>11+24</f>
        <v>35</v>
      </c>
      <c r="U100" s="57">
        <f>5+21</f>
        <v>26</v>
      </c>
      <c r="V100" s="57">
        <f>4+12</f>
        <v>16</v>
      </c>
      <c r="W100" s="57">
        <f>2+17</f>
        <v>19</v>
      </c>
      <c r="X100" s="57">
        <f>2+14</f>
        <v>16</v>
      </c>
      <c r="Y100" s="58">
        <f>2+11</f>
        <v>13</v>
      </c>
      <c r="Z100" s="58">
        <v>12</v>
      </c>
      <c r="AA100" s="58">
        <v>7</v>
      </c>
      <c r="AB100" s="58">
        <v>6</v>
      </c>
      <c r="AC100" s="58">
        <v>3</v>
      </c>
      <c r="AD100" s="58">
        <v>3</v>
      </c>
      <c r="AE100" s="58">
        <v>2</v>
      </c>
      <c r="AF100" s="58">
        <v>1</v>
      </c>
      <c r="AG100" s="58">
        <v>2</v>
      </c>
      <c r="AH100" s="58">
        <v>2</v>
      </c>
      <c r="AI100" s="58">
        <v>2</v>
      </c>
      <c r="AJ100" s="58">
        <v>0</v>
      </c>
      <c r="AK100" s="58">
        <v>3</v>
      </c>
      <c r="AL100" s="58">
        <v>1</v>
      </c>
      <c r="AM100" s="58">
        <v>0</v>
      </c>
      <c r="AN100" s="58">
        <v>0</v>
      </c>
      <c r="AO100" s="58">
        <v>0</v>
      </c>
      <c r="AP100" s="58">
        <v>0</v>
      </c>
      <c r="AQ100" s="58">
        <v>0</v>
      </c>
      <c r="AR100" s="58">
        <v>0</v>
      </c>
      <c r="AS100" s="58">
        <v>0</v>
      </c>
      <c r="AT100" s="58">
        <v>0</v>
      </c>
      <c r="AU100" s="58">
        <v>0</v>
      </c>
      <c r="AV100" s="58">
        <v>0</v>
      </c>
      <c r="AW100" s="58">
        <v>0</v>
      </c>
      <c r="AX100" s="58">
        <v>0</v>
      </c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</row>
    <row r="101" spans="1:95" s="5" customFormat="1" ht="24.95" customHeight="1" x14ac:dyDescent="0.3">
      <c r="A101" s="59" t="s">
        <v>64</v>
      </c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 t="s">
        <v>67</v>
      </c>
      <c r="AX101" s="55" t="s">
        <v>67</v>
      </c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</row>
    <row r="102" spans="1:95" s="10" customFormat="1" ht="24.95" customHeight="1" x14ac:dyDescent="0.2">
      <c r="A102" s="51" t="s">
        <v>1</v>
      </c>
      <c r="B102" s="67">
        <f>SUM(B103,B104)</f>
        <v>25081</v>
      </c>
      <c r="C102" s="67">
        <f t="shared" ref="C102:AX102" si="27">SUM(C103,C104)</f>
        <v>25966</v>
      </c>
      <c r="D102" s="67">
        <f t="shared" si="27"/>
        <v>29927</v>
      </c>
      <c r="E102" s="67">
        <f t="shared" si="27"/>
        <v>27391</v>
      </c>
      <c r="F102" s="67">
        <f t="shared" si="27"/>
        <v>27138</v>
      </c>
      <c r="G102" s="67">
        <f t="shared" si="27"/>
        <v>27497</v>
      </c>
      <c r="H102" s="67">
        <f t="shared" si="27"/>
        <v>26997</v>
      </c>
      <c r="I102" s="67">
        <f t="shared" si="27"/>
        <v>25017</v>
      </c>
      <c r="J102" s="67">
        <f t="shared" si="27"/>
        <v>20354</v>
      </c>
      <c r="K102" s="67">
        <f t="shared" si="27"/>
        <v>18717</v>
      </c>
      <c r="L102" s="67">
        <f t="shared" si="27"/>
        <v>19605</v>
      </c>
      <c r="M102" s="67">
        <f t="shared" si="27"/>
        <v>21474</v>
      </c>
      <c r="N102" s="67">
        <f t="shared" si="27"/>
        <v>23727</v>
      </c>
      <c r="O102" s="67">
        <f t="shared" si="27"/>
        <v>26265</v>
      </c>
      <c r="P102" s="67">
        <f t="shared" si="27"/>
        <v>27386</v>
      </c>
      <c r="Q102" s="67">
        <f t="shared" si="27"/>
        <v>27747</v>
      </c>
      <c r="R102" s="68">
        <f t="shared" si="27"/>
        <v>28119</v>
      </c>
      <c r="S102" s="67">
        <f t="shared" si="27"/>
        <v>27895</v>
      </c>
      <c r="T102" s="67">
        <f t="shared" si="27"/>
        <v>27520</v>
      </c>
      <c r="U102" s="67">
        <f t="shared" si="27"/>
        <v>26855</v>
      </c>
      <c r="V102" s="67">
        <f t="shared" si="27"/>
        <v>26890</v>
      </c>
      <c r="W102" s="67">
        <f t="shared" si="27"/>
        <v>26098</v>
      </c>
      <c r="X102" s="67">
        <f t="shared" si="27"/>
        <v>24395</v>
      </c>
      <c r="Y102" s="72">
        <f t="shared" si="27"/>
        <v>23931</v>
      </c>
      <c r="Z102" s="72">
        <f t="shared" si="27"/>
        <v>23424</v>
      </c>
      <c r="AA102" s="72">
        <f t="shared" si="27"/>
        <v>22923</v>
      </c>
      <c r="AB102" s="72">
        <f t="shared" si="27"/>
        <v>22184</v>
      </c>
      <c r="AC102" s="72">
        <f t="shared" si="27"/>
        <v>21431</v>
      </c>
      <c r="AD102" s="72">
        <f t="shared" si="27"/>
        <v>22331</v>
      </c>
      <c r="AE102" s="72">
        <f t="shared" si="27"/>
        <v>22320</v>
      </c>
      <c r="AF102" s="72">
        <f t="shared" si="27"/>
        <v>22679</v>
      </c>
      <c r="AG102" s="72">
        <f t="shared" si="27"/>
        <v>22630</v>
      </c>
      <c r="AH102" s="72">
        <f t="shared" si="27"/>
        <v>21512</v>
      </c>
      <c r="AI102" s="72">
        <f t="shared" si="27"/>
        <v>21759</v>
      </c>
      <c r="AJ102" s="72">
        <f t="shared" si="27"/>
        <v>22651</v>
      </c>
      <c r="AK102" s="72">
        <f t="shared" si="27"/>
        <v>23345</v>
      </c>
      <c r="AL102" s="72">
        <f t="shared" si="27"/>
        <v>25464</v>
      </c>
      <c r="AM102" s="72">
        <f t="shared" si="27"/>
        <v>28205</v>
      </c>
      <c r="AN102" s="72">
        <f t="shared" si="27"/>
        <v>29559</v>
      </c>
      <c r="AO102" s="72">
        <f t="shared" si="27"/>
        <v>31469</v>
      </c>
      <c r="AP102" s="72">
        <f t="shared" si="27"/>
        <v>33786</v>
      </c>
      <c r="AQ102" s="72">
        <f t="shared" si="27"/>
        <v>35046</v>
      </c>
      <c r="AR102" s="72">
        <f t="shared" si="27"/>
        <v>35991</v>
      </c>
      <c r="AS102" s="72">
        <f t="shared" si="27"/>
        <v>38161</v>
      </c>
      <c r="AT102" s="72">
        <f t="shared" si="27"/>
        <v>40460</v>
      </c>
      <c r="AU102" s="72">
        <f t="shared" si="27"/>
        <v>42852</v>
      </c>
      <c r="AV102" s="72">
        <f t="shared" si="27"/>
        <v>45934</v>
      </c>
      <c r="AW102" s="72">
        <f t="shared" si="27"/>
        <v>47895</v>
      </c>
      <c r="AX102" s="72">
        <f t="shared" si="27"/>
        <v>49396</v>
      </c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</row>
    <row r="103" spans="1:95" s="5" customFormat="1" ht="24.95" customHeight="1" x14ac:dyDescent="0.3">
      <c r="A103" s="54" t="s">
        <v>2</v>
      </c>
      <c r="B103" s="52">
        <v>24537</v>
      </c>
      <c r="C103" s="52">
        <v>25311</v>
      </c>
      <c r="D103" s="52">
        <v>28695</v>
      </c>
      <c r="E103" s="52">
        <v>26263</v>
      </c>
      <c r="F103" s="52">
        <v>26332</v>
      </c>
      <c r="G103" s="52">
        <v>26850</v>
      </c>
      <c r="H103" s="52">
        <v>26347</v>
      </c>
      <c r="I103" s="52">
        <v>24373</v>
      </c>
      <c r="J103" s="52">
        <v>19743</v>
      </c>
      <c r="K103" s="52">
        <v>17848</v>
      </c>
      <c r="L103" s="52">
        <v>18683</v>
      </c>
      <c r="M103" s="52">
        <v>20563</v>
      </c>
      <c r="N103" s="52">
        <v>22884</v>
      </c>
      <c r="O103" s="52">
        <v>25307</v>
      </c>
      <c r="P103" s="52">
        <v>26370</v>
      </c>
      <c r="Q103" s="52">
        <v>26699</v>
      </c>
      <c r="R103" s="52">
        <v>27053</v>
      </c>
      <c r="S103" s="52">
        <v>26771</v>
      </c>
      <c r="T103" s="52">
        <v>26320</v>
      </c>
      <c r="U103" s="52">
        <v>25658</v>
      </c>
      <c r="V103" s="52">
        <v>25599</v>
      </c>
      <c r="W103" s="52">
        <v>25042</v>
      </c>
      <c r="X103" s="52">
        <v>24203</v>
      </c>
      <c r="Y103" s="55">
        <v>23747</v>
      </c>
      <c r="Z103" s="55">
        <v>23270</v>
      </c>
      <c r="AA103" s="55">
        <v>22766</v>
      </c>
      <c r="AB103" s="55">
        <v>22046</v>
      </c>
      <c r="AC103" s="55">
        <v>21268</v>
      </c>
      <c r="AD103" s="55">
        <v>20771</v>
      </c>
      <c r="AE103" s="55">
        <v>20385</v>
      </c>
      <c r="AF103" s="55">
        <v>19954</v>
      </c>
      <c r="AG103" s="55">
        <v>19171</v>
      </c>
      <c r="AH103" s="55">
        <v>18325</v>
      </c>
      <c r="AI103" s="55">
        <v>17672</v>
      </c>
      <c r="AJ103" s="55">
        <v>17458</v>
      </c>
      <c r="AK103" s="55">
        <v>17572</v>
      </c>
      <c r="AL103" s="55">
        <v>18347</v>
      </c>
      <c r="AM103" s="55">
        <v>19642</v>
      </c>
      <c r="AN103" s="55">
        <v>20286</v>
      </c>
      <c r="AO103" s="55">
        <v>20716</v>
      </c>
      <c r="AP103" s="55">
        <v>21454</v>
      </c>
      <c r="AQ103" s="55">
        <v>21903</v>
      </c>
      <c r="AR103" s="55">
        <v>22109</v>
      </c>
      <c r="AS103" s="55">
        <v>23008</v>
      </c>
      <c r="AT103" s="55">
        <v>23827</v>
      </c>
      <c r="AU103" s="55">
        <v>24562</v>
      </c>
      <c r="AV103" s="55">
        <v>25732</v>
      </c>
      <c r="AW103" s="55">
        <v>26189</v>
      </c>
      <c r="AX103" s="55">
        <v>26642</v>
      </c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28"/>
      <c r="CI103" s="28"/>
      <c r="CJ103" s="28"/>
      <c r="CK103" s="28"/>
      <c r="CL103" s="28"/>
      <c r="CM103" s="28"/>
      <c r="CN103" s="28"/>
      <c r="CO103" s="28"/>
      <c r="CP103" s="28"/>
      <c r="CQ103" s="28"/>
    </row>
    <row r="104" spans="1:95" s="5" customFormat="1" ht="24.95" customHeight="1" x14ac:dyDescent="0.3">
      <c r="A104" s="54" t="s">
        <v>3</v>
      </c>
      <c r="B104" s="52">
        <v>544</v>
      </c>
      <c r="C104" s="52">
        <v>655</v>
      </c>
      <c r="D104" s="52">
        <v>1232</v>
      </c>
      <c r="E104" s="52">
        <v>1128</v>
      </c>
      <c r="F104" s="52">
        <v>806</v>
      </c>
      <c r="G104" s="52">
        <v>647</v>
      </c>
      <c r="H104" s="52">
        <v>650</v>
      </c>
      <c r="I104" s="52">
        <v>644</v>
      </c>
      <c r="J104" s="52">
        <v>611</v>
      </c>
      <c r="K104" s="52">
        <v>869</v>
      </c>
      <c r="L104" s="52">
        <v>922</v>
      </c>
      <c r="M104" s="52">
        <v>911</v>
      </c>
      <c r="N104" s="52">
        <v>843</v>
      </c>
      <c r="O104" s="52">
        <v>958</v>
      </c>
      <c r="P104" s="52">
        <v>1016</v>
      </c>
      <c r="Q104" s="52">
        <v>1048</v>
      </c>
      <c r="R104" s="52">
        <v>1066</v>
      </c>
      <c r="S104" s="52">
        <v>1124</v>
      </c>
      <c r="T104" s="52">
        <v>1200</v>
      </c>
      <c r="U104" s="52">
        <v>1197</v>
      </c>
      <c r="V104" s="52">
        <v>1291</v>
      </c>
      <c r="W104" s="52">
        <v>1056</v>
      </c>
      <c r="X104" s="52">
        <v>192</v>
      </c>
      <c r="Y104" s="55">
        <v>184</v>
      </c>
      <c r="Z104" s="55">
        <v>154</v>
      </c>
      <c r="AA104" s="55">
        <v>157</v>
      </c>
      <c r="AB104" s="55">
        <v>138</v>
      </c>
      <c r="AC104" s="55">
        <v>163</v>
      </c>
      <c r="AD104" s="55">
        <v>1560</v>
      </c>
      <c r="AE104" s="55">
        <v>1935</v>
      </c>
      <c r="AF104" s="55">
        <v>2725</v>
      </c>
      <c r="AG104" s="55">
        <v>3459</v>
      </c>
      <c r="AH104" s="55">
        <v>3187</v>
      </c>
      <c r="AI104" s="55">
        <v>4087</v>
      </c>
      <c r="AJ104" s="55">
        <v>5193</v>
      </c>
      <c r="AK104" s="55">
        <v>5773</v>
      </c>
      <c r="AL104" s="55">
        <v>7117</v>
      </c>
      <c r="AM104" s="55">
        <v>8563</v>
      </c>
      <c r="AN104" s="55">
        <v>9273</v>
      </c>
      <c r="AO104" s="55">
        <v>10753</v>
      </c>
      <c r="AP104" s="55">
        <v>12332</v>
      </c>
      <c r="AQ104" s="55">
        <v>13143</v>
      </c>
      <c r="AR104" s="55">
        <v>13882</v>
      </c>
      <c r="AS104" s="55">
        <v>15153</v>
      </c>
      <c r="AT104" s="55">
        <v>16633</v>
      </c>
      <c r="AU104" s="55">
        <v>18290</v>
      </c>
      <c r="AV104" s="55">
        <v>20202</v>
      </c>
      <c r="AW104" s="55">
        <v>21706</v>
      </c>
      <c r="AX104" s="55">
        <v>22754</v>
      </c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28"/>
      <c r="CI104" s="28"/>
      <c r="CJ104" s="28"/>
      <c r="CK104" s="28"/>
      <c r="CL104" s="28"/>
      <c r="CM104" s="28"/>
      <c r="CN104" s="28"/>
      <c r="CO104" s="28"/>
      <c r="CP104" s="28"/>
      <c r="CQ104" s="28"/>
    </row>
    <row r="105" spans="1:95" s="10" customFormat="1" ht="24.95" customHeight="1" x14ac:dyDescent="0.2">
      <c r="A105" s="51" t="s">
        <v>4</v>
      </c>
      <c r="B105" s="67">
        <f>SUM(B106,B107)</f>
        <v>1802</v>
      </c>
      <c r="C105" s="67">
        <f t="shared" ref="C105:AX105" si="28">SUM(C106,C107)</f>
        <v>1898</v>
      </c>
      <c r="D105" s="67">
        <f t="shared" si="28"/>
        <v>2332</v>
      </c>
      <c r="E105" s="67">
        <f t="shared" si="28"/>
        <v>2208</v>
      </c>
      <c r="F105" s="67">
        <f t="shared" si="28"/>
        <v>2203</v>
      </c>
      <c r="G105" s="67">
        <f t="shared" si="28"/>
        <v>2409</v>
      </c>
      <c r="H105" s="67">
        <f t="shared" si="28"/>
        <v>2613</v>
      </c>
      <c r="I105" s="67">
        <f t="shared" si="28"/>
        <v>2655</v>
      </c>
      <c r="J105" s="67">
        <f t="shared" si="28"/>
        <v>2550</v>
      </c>
      <c r="K105" s="67">
        <f t="shared" si="28"/>
        <v>2586</v>
      </c>
      <c r="L105" s="67">
        <f t="shared" si="28"/>
        <v>3017</v>
      </c>
      <c r="M105" s="67">
        <f t="shared" si="28"/>
        <v>3616</v>
      </c>
      <c r="N105" s="67">
        <f t="shared" si="28"/>
        <v>4143</v>
      </c>
      <c r="O105" s="67">
        <f t="shared" si="28"/>
        <v>4715</v>
      </c>
      <c r="P105" s="67">
        <f t="shared" si="28"/>
        <v>5104</v>
      </c>
      <c r="Q105" s="67">
        <f t="shared" si="28"/>
        <v>5185</v>
      </c>
      <c r="R105" s="67">
        <f t="shared" si="28"/>
        <v>5175</v>
      </c>
      <c r="S105" s="67">
        <f t="shared" si="28"/>
        <v>5163</v>
      </c>
      <c r="T105" s="67">
        <f t="shared" si="28"/>
        <v>5236</v>
      </c>
      <c r="U105" s="67">
        <f t="shared" si="28"/>
        <v>5181</v>
      </c>
      <c r="V105" s="67">
        <f t="shared" si="28"/>
        <v>5241</v>
      </c>
      <c r="W105" s="67">
        <f t="shared" si="28"/>
        <v>5011</v>
      </c>
      <c r="X105" s="67">
        <f t="shared" si="28"/>
        <v>4667</v>
      </c>
      <c r="Y105" s="72">
        <f t="shared" si="28"/>
        <v>4550</v>
      </c>
      <c r="Z105" s="72">
        <f t="shared" si="28"/>
        <v>4354</v>
      </c>
      <c r="AA105" s="72">
        <f t="shared" si="28"/>
        <v>4158</v>
      </c>
      <c r="AB105" s="72">
        <f t="shared" si="28"/>
        <v>3985</v>
      </c>
      <c r="AC105" s="72">
        <f t="shared" si="28"/>
        <v>3872</v>
      </c>
      <c r="AD105" s="72">
        <f t="shared" si="28"/>
        <v>4425</v>
      </c>
      <c r="AE105" s="72">
        <f t="shared" si="28"/>
        <v>4666</v>
      </c>
      <c r="AF105" s="72">
        <f t="shared" si="28"/>
        <v>4953</v>
      </c>
      <c r="AG105" s="72">
        <f t="shared" si="28"/>
        <v>5076</v>
      </c>
      <c r="AH105" s="72">
        <f t="shared" si="28"/>
        <v>5077</v>
      </c>
      <c r="AI105" s="72">
        <f t="shared" si="28"/>
        <v>5479</v>
      </c>
      <c r="AJ105" s="72">
        <f t="shared" si="28"/>
        <v>6170</v>
      </c>
      <c r="AK105" s="72">
        <f t="shared" si="28"/>
        <v>6577</v>
      </c>
      <c r="AL105" s="72">
        <f t="shared" si="28"/>
        <v>7640</v>
      </c>
      <c r="AM105" s="72">
        <f t="shared" si="28"/>
        <v>8694</v>
      </c>
      <c r="AN105" s="72">
        <f t="shared" si="28"/>
        <v>9265</v>
      </c>
      <c r="AO105" s="72">
        <f t="shared" si="28"/>
        <v>8678</v>
      </c>
      <c r="AP105" s="72">
        <f t="shared" si="28"/>
        <v>10857</v>
      </c>
      <c r="AQ105" s="72">
        <f t="shared" si="28"/>
        <v>11485</v>
      </c>
      <c r="AR105" s="72">
        <f t="shared" si="28"/>
        <v>11946</v>
      </c>
      <c r="AS105" s="72">
        <f t="shared" si="28"/>
        <v>12811</v>
      </c>
      <c r="AT105" s="72">
        <f t="shared" si="28"/>
        <v>14002</v>
      </c>
      <c r="AU105" s="72">
        <f t="shared" si="28"/>
        <v>15381</v>
      </c>
      <c r="AV105" s="72">
        <f t="shared" si="28"/>
        <v>16671</v>
      </c>
      <c r="AW105" s="72">
        <f t="shared" si="28"/>
        <v>18894</v>
      </c>
      <c r="AX105" s="72">
        <f t="shared" si="28"/>
        <v>20942</v>
      </c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</row>
    <row r="106" spans="1:95" s="5" customFormat="1" ht="24.95" customHeight="1" x14ac:dyDescent="0.3">
      <c r="A106" s="54" t="s">
        <v>2</v>
      </c>
      <c r="B106" s="52">
        <v>1719</v>
      </c>
      <c r="C106" s="52">
        <v>1793</v>
      </c>
      <c r="D106" s="52">
        <v>2049</v>
      </c>
      <c r="E106" s="52">
        <v>1938</v>
      </c>
      <c r="F106" s="52">
        <v>2047</v>
      </c>
      <c r="G106" s="52">
        <v>2279</v>
      </c>
      <c r="H106" s="52">
        <v>2464</v>
      </c>
      <c r="I106" s="52">
        <v>2528</v>
      </c>
      <c r="J106" s="52">
        <v>2413</v>
      </c>
      <c r="K106" s="52">
        <v>2365</v>
      </c>
      <c r="L106" s="52">
        <v>2788</v>
      </c>
      <c r="M106" s="52">
        <v>3368</v>
      </c>
      <c r="N106" s="52">
        <v>3907</v>
      </c>
      <c r="O106" s="52">
        <v>4461</v>
      </c>
      <c r="P106" s="52">
        <v>4789</v>
      </c>
      <c r="Q106" s="52">
        <v>4860</v>
      </c>
      <c r="R106" s="52">
        <v>4875</v>
      </c>
      <c r="S106" s="52">
        <v>4824</v>
      </c>
      <c r="T106" s="52">
        <v>4793</v>
      </c>
      <c r="U106" s="52">
        <v>4763</v>
      </c>
      <c r="V106" s="52">
        <v>4807</v>
      </c>
      <c r="W106" s="52">
        <v>4701</v>
      </c>
      <c r="X106" s="52">
        <v>4592</v>
      </c>
      <c r="Y106" s="55">
        <v>4503</v>
      </c>
      <c r="Z106" s="55">
        <v>4278</v>
      </c>
      <c r="AA106" s="55">
        <v>4104</v>
      </c>
      <c r="AB106" s="55">
        <v>3920</v>
      </c>
      <c r="AC106" s="55">
        <v>3811</v>
      </c>
      <c r="AD106" s="55">
        <v>3789</v>
      </c>
      <c r="AE106" s="55">
        <v>3895</v>
      </c>
      <c r="AF106" s="55">
        <v>3851</v>
      </c>
      <c r="AG106" s="55">
        <v>3694</v>
      </c>
      <c r="AH106" s="55">
        <v>3639</v>
      </c>
      <c r="AI106" s="55">
        <v>3556</v>
      </c>
      <c r="AJ106" s="55">
        <v>3608</v>
      </c>
      <c r="AK106" s="55">
        <v>3706</v>
      </c>
      <c r="AL106" s="55">
        <v>4041</v>
      </c>
      <c r="AM106" s="55">
        <v>4203</v>
      </c>
      <c r="AN106" s="55">
        <v>4388</v>
      </c>
      <c r="AO106" s="55">
        <v>4407</v>
      </c>
      <c r="AP106" s="55">
        <v>4388</v>
      </c>
      <c r="AQ106" s="55">
        <v>4480</v>
      </c>
      <c r="AR106" s="55">
        <v>4484</v>
      </c>
      <c r="AS106" s="55">
        <v>4522</v>
      </c>
      <c r="AT106" s="55">
        <v>4761</v>
      </c>
      <c r="AU106" s="55">
        <v>5043</v>
      </c>
      <c r="AV106" s="55">
        <v>5232</v>
      </c>
      <c r="AW106" s="55">
        <v>5883</v>
      </c>
      <c r="AX106" s="55">
        <v>6534</v>
      </c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28"/>
      <c r="CI106" s="28"/>
      <c r="CJ106" s="28"/>
      <c r="CK106" s="28"/>
      <c r="CL106" s="28"/>
      <c r="CM106" s="28"/>
      <c r="CN106" s="28"/>
      <c r="CO106" s="28"/>
      <c r="CP106" s="28"/>
      <c r="CQ106" s="28"/>
    </row>
    <row r="107" spans="1:95" s="5" customFormat="1" ht="24.95" customHeight="1" x14ac:dyDescent="0.3">
      <c r="A107" s="54" t="s">
        <v>3</v>
      </c>
      <c r="B107" s="52">
        <v>83</v>
      </c>
      <c r="C107" s="52">
        <v>105</v>
      </c>
      <c r="D107" s="52">
        <v>283</v>
      </c>
      <c r="E107" s="52">
        <v>270</v>
      </c>
      <c r="F107" s="52">
        <v>156</v>
      </c>
      <c r="G107" s="52">
        <v>130</v>
      </c>
      <c r="H107" s="52">
        <v>149</v>
      </c>
      <c r="I107" s="52">
        <v>127</v>
      </c>
      <c r="J107" s="52">
        <v>137</v>
      </c>
      <c r="K107" s="52">
        <v>221</v>
      </c>
      <c r="L107" s="52">
        <v>229</v>
      </c>
      <c r="M107" s="52">
        <v>248</v>
      </c>
      <c r="N107" s="52">
        <v>236</v>
      </c>
      <c r="O107" s="52">
        <v>254</v>
      </c>
      <c r="P107" s="52">
        <v>315</v>
      </c>
      <c r="Q107" s="52">
        <v>325</v>
      </c>
      <c r="R107" s="52">
        <v>300</v>
      </c>
      <c r="S107" s="52">
        <v>339</v>
      </c>
      <c r="T107" s="52">
        <v>443</v>
      </c>
      <c r="U107" s="52">
        <v>418</v>
      </c>
      <c r="V107" s="52">
        <v>434</v>
      </c>
      <c r="W107" s="52">
        <v>310</v>
      </c>
      <c r="X107" s="52">
        <v>75</v>
      </c>
      <c r="Y107" s="55">
        <v>47</v>
      </c>
      <c r="Z107" s="55">
        <v>76</v>
      </c>
      <c r="AA107" s="55">
        <v>54</v>
      </c>
      <c r="AB107" s="55">
        <v>65</v>
      </c>
      <c r="AC107" s="55">
        <v>61</v>
      </c>
      <c r="AD107" s="55">
        <v>636</v>
      </c>
      <c r="AE107" s="55">
        <v>771</v>
      </c>
      <c r="AF107" s="55">
        <v>1102</v>
      </c>
      <c r="AG107" s="55">
        <v>1382</v>
      </c>
      <c r="AH107" s="55">
        <v>1438</v>
      </c>
      <c r="AI107" s="55">
        <v>1923</v>
      </c>
      <c r="AJ107" s="55">
        <v>2562</v>
      </c>
      <c r="AK107" s="55">
        <v>2871</v>
      </c>
      <c r="AL107" s="55">
        <v>3599</v>
      </c>
      <c r="AM107" s="55">
        <v>4491</v>
      </c>
      <c r="AN107" s="55">
        <v>4877</v>
      </c>
      <c r="AO107" s="55">
        <v>4271</v>
      </c>
      <c r="AP107" s="55">
        <v>6469</v>
      </c>
      <c r="AQ107" s="55">
        <v>7005</v>
      </c>
      <c r="AR107" s="55">
        <v>7462</v>
      </c>
      <c r="AS107" s="55">
        <v>8289</v>
      </c>
      <c r="AT107" s="55">
        <v>9241</v>
      </c>
      <c r="AU107" s="55">
        <v>10338</v>
      </c>
      <c r="AV107" s="55">
        <v>11439</v>
      </c>
      <c r="AW107" s="55">
        <v>13011</v>
      </c>
      <c r="AX107" s="55">
        <v>14408</v>
      </c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</row>
    <row r="108" spans="1:95" s="10" customFormat="1" ht="24.95" customHeight="1" x14ac:dyDescent="0.2">
      <c r="A108" s="51" t="s">
        <v>5</v>
      </c>
      <c r="B108" s="67">
        <f>SUM(B109,B110)</f>
        <v>5258</v>
      </c>
      <c r="C108" s="67">
        <f t="shared" ref="C108:AX108" si="29">SUM(C109,C110)</f>
        <v>4968</v>
      </c>
      <c r="D108" s="67">
        <f t="shared" si="29"/>
        <v>4594</v>
      </c>
      <c r="E108" s="67">
        <f t="shared" si="29"/>
        <v>4965</v>
      </c>
      <c r="F108" s="67">
        <f t="shared" si="29"/>
        <v>4859</v>
      </c>
      <c r="G108" s="67">
        <f t="shared" si="29"/>
        <v>4361</v>
      </c>
      <c r="H108" s="67">
        <f t="shared" si="29"/>
        <v>3729</v>
      </c>
      <c r="I108" s="67">
        <f t="shared" si="29"/>
        <v>3186</v>
      </c>
      <c r="J108" s="67">
        <f t="shared" si="29"/>
        <v>2579</v>
      </c>
      <c r="K108" s="67">
        <f t="shared" si="29"/>
        <v>2585</v>
      </c>
      <c r="L108" s="67">
        <f t="shared" si="29"/>
        <v>2918</v>
      </c>
      <c r="M108" s="67">
        <f t="shared" si="29"/>
        <v>2625</v>
      </c>
      <c r="N108" s="67">
        <f t="shared" si="29"/>
        <v>2096</v>
      </c>
      <c r="O108" s="67">
        <f t="shared" si="29"/>
        <v>4213</v>
      </c>
      <c r="P108" s="67">
        <f t="shared" si="29"/>
        <v>3989</v>
      </c>
      <c r="Q108" s="67">
        <f t="shared" si="29"/>
        <v>3871</v>
      </c>
      <c r="R108" s="67">
        <f t="shared" si="29"/>
        <v>3807</v>
      </c>
      <c r="S108" s="67">
        <f t="shared" si="29"/>
        <v>3580</v>
      </c>
      <c r="T108" s="67">
        <f t="shared" si="29"/>
        <v>3522</v>
      </c>
      <c r="U108" s="67">
        <f t="shared" si="29"/>
        <v>3755</v>
      </c>
      <c r="V108" s="67">
        <f t="shared" si="29"/>
        <v>3153</v>
      </c>
      <c r="W108" s="67">
        <f t="shared" si="29"/>
        <v>3005</v>
      </c>
      <c r="X108" s="67">
        <f t="shared" si="29"/>
        <v>2802</v>
      </c>
      <c r="Y108" s="72">
        <f t="shared" si="29"/>
        <v>2585</v>
      </c>
      <c r="Z108" s="72">
        <f t="shared" si="29"/>
        <v>2190</v>
      </c>
      <c r="AA108" s="72">
        <f t="shared" si="29"/>
        <v>1805</v>
      </c>
      <c r="AB108" s="72">
        <f t="shared" si="29"/>
        <v>1537</v>
      </c>
      <c r="AC108" s="72">
        <f t="shared" si="29"/>
        <v>1216</v>
      </c>
      <c r="AD108" s="72">
        <f t="shared" si="29"/>
        <v>991</v>
      </c>
      <c r="AE108" s="72">
        <f t="shared" si="29"/>
        <v>842</v>
      </c>
      <c r="AF108" s="72">
        <f t="shared" si="29"/>
        <v>654</v>
      </c>
      <c r="AG108" s="72">
        <f t="shared" si="29"/>
        <v>497</v>
      </c>
      <c r="AH108" s="72">
        <f t="shared" si="29"/>
        <v>388</v>
      </c>
      <c r="AI108" s="72">
        <f t="shared" si="29"/>
        <v>337</v>
      </c>
      <c r="AJ108" s="72">
        <f t="shared" si="29"/>
        <v>217</v>
      </c>
      <c r="AK108" s="72">
        <f t="shared" si="29"/>
        <v>141</v>
      </c>
      <c r="AL108" s="72">
        <f t="shared" si="29"/>
        <v>116</v>
      </c>
      <c r="AM108" s="72">
        <f t="shared" si="29"/>
        <v>0</v>
      </c>
      <c r="AN108" s="72">
        <f t="shared" si="29"/>
        <v>0</v>
      </c>
      <c r="AO108" s="72">
        <f t="shared" si="29"/>
        <v>0</v>
      </c>
      <c r="AP108" s="72">
        <f t="shared" si="29"/>
        <v>0</v>
      </c>
      <c r="AQ108" s="72">
        <f t="shared" si="29"/>
        <v>0</v>
      </c>
      <c r="AR108" s="72">
        <f t="shared" si="29"/>
        <v>0</v>
      </c>
      <c r="AS108" s="72">
        <f t="shared" si="29"/>
        <v>0</v>
      </c>
      <c r="AT108" s="72">
        <f t="shared" si="29"/>
        <v>0</v>
      </c>
      <c r="AU108" s="72">
        <f t="shared" si="29"/>
        <v>0</v>
      </c>
      <c r="AV108" s="72">
        <f t="shared" si="29"/>
        <v>0</v>
      </c>
      <c r="AW108" s="72">
        <f t="shared" si="29"/>
        <v>0</v>
      </c>
      <c r="AX108" s="72">
        <f t="shared" si="29"/>
        <v>0</v>
      </c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</row>
    <row r="109" spans="1:95" s="5" customFormat="1" ht="24.95" customHeight="1" x14ac:dyDescent="0.3">
      <c r="A109" s="54" t="s">
        <v>2</v>
      </c>
      <c r="B109" s="52">
        <v>5111</v>
      </c>
      <c r="C109" s="52">
        <v>4855</v>
      </c>
      <c r="D109" s="52">
        <f>3579+920</f>
        <v>4499</v>
      </c>
      <c r="E109" s="52">
        <f>3999+872</f>
        <v>4871</v>
      </c>
      <c r="F109" s="52">
        <f>3797+983</f>
        <v>4780</v>
      </c>
      <c r="G109" s="52">
        <f>3409+883</f>
        <v>4292</v>
      </c>
      <c r="H109" s="52">
        <f>2928+795</f>
        <v>3723</v>
      </c>
      <c r="I109" s="52">
        <f>2545+625</f>
        <v>3170</v>
      </c>
      <c r="J109" s="52">
        <f>2124+449</f>
        <v>2573</v>
      </c>
      <c r="K109" s="52">
        <f>2228+349</f>
        <v>2577</v>
      </c>
      <c r="L109" s="52">
        <f>425+2471</f>
        <v>2896</v>
      </c>
      <c r="M109" s="52">
        <f>416+2206</f>
        <v>2622</v>
      </c>
      <c r="N109" s="52">
        <f>363+1733</f>
        <v>2096</v>
      </c>
      <c r="O109" s="52">
        <f>384+3822</f>
        <v>4206</v>
      </c>
      <c r="P109" s="52">
        <f>411+3578</f>
        <v>3989</v>
      </c>
      <c r="Q109" s="52">
        <f>384+3472</f>
        <v>3856</v>
      </c>
      <c r="R109" s="52">
        <f>384+3415</f>
        <v>3799</v>
      </c>
      <c r="S109" s="52">
        <f>357+3217</f>
        <v>3574</v>
      </c>
      <c r="T109" s="52">
        <f>339+3176</f>
        <v>3515</v>
      </c>
      <c r="U109" s="52">
        <f>301+3450</f>
        <v>3751</v>
      </c>
      <c r="V109" s="52">
        <f>286+2846</f>
        <v>3132</v>
      </c>
      <c r="W109" s="52">
        <f>275+2711</f>
        <v>2986</v>
      </c>
      <c r="X109" s="52">
        <f>253+2537</f>
        <v>2790</v>
      </c>
      <c r="Y109" s="55">
        <f>240+2335</f>
        <v>2575</v>
      </c>
      <c r="Z109" s="55">
        <f>236+1945</f>
        <v>2181</v>
      </c>
      <c r="AA109" s="55">
        <v>1796</v>
      </c>
      <c r="AB109" s="55">
        <v>1529</v>
      </c>
      <c r="AC109" s="55">
        <v>1211</v>
      </c>
      <c r="AD109" s="55">
        <v>986</v>
      </c>
      <c r="AE109" s="55">
        <v>839</v>
      </c>
      <c r="AF109" s="55">
        <v>652</v>
      </c>
      <c r="AG109" s="55">
        <v>496</v>
      </c>
      <c r="AH109" s="55">
        <v>388</v>
      </c>
      <c r="AI109" s="55">
        <v>337</v>
      </c>
      <c r="AJ109" s="55">
        <v>216</v>
      </c>
      <c r="AK109" s="55">
        <v>141</v>
      </c>
      <c r="AL109" s="55">
        <v>115</v>
      </c>
      <c r="AM109" s="55">
        <v>0</v>
      </c>
      <c r="AN109" s="55">
        <v>0</v>
      </c>
      <c r="AO109" s="55">
        <v>0</v>
      </c>
      <c r="AP109" s="55">
        <v>0</v>
      </c>
      <c r="AQ109" s="55">
        <v>0</v>
      </c>
      <c r="AR109" s="55">
        <v>0</v>
      </c>
      <c r="AS109" s="55">
        <v>0</v>
      </c>
      <c r="AT109" s="55">
        <v>0</v>
      </c>
      <c r="AU109" s="55">
        <v>0</v>
      </c>
      <c r="AV109" s="55">
        <v>0</v>
      </c>
      <c r="AW109" s="55">
        <v>0</v>
      </c>
      <c r="AX109" s="55">
        <v>0</v>
      </c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</row>
    <row r="110" spans="1:95" s="5" customFormat="1" ht="24.95" customHeight="1" thickBot="1" x14ac:dyDescent="0.35">
      <c r="A110" s="56" t="s">
        <v>3</v>
      </c>
      <c r="B110" s="57">
        <v>147</v>
      </c>
      <c r="C110" s="57">
        <v>113</v>
      </c>
      <c r="D110" s="57">
        <f>91+4</f>
        <v>95</v>
      </c>
      <c r="E110" s="57">
        <f>88+6</f>
        <v>94</v>
      </c>
      <c r="F110" s="57">
        <f>77+2</f>
        <v>79</v>
      </c>
      <c r="G110" s="57">
        <f>63+6</f>
        <v>69</v>
      </c>
      <c r="H110" s="57">
        <f>5+1</f>
        <v>6</v>
      </c>
      <c r="I110" s="57">
        <f>16+0</f>
        <v>16</v>
      </c>
      <c r="J110" s="57">
        <f>4+2</f>
        <v>6</v>
      </c>
      <c r="K110" s="57">
        <f>0+8</f>
        <v>8</v>
      </c>
      <c r="L110" s="57">
        <f>3+19</f>
        <v>22</v>
      </c>
      <c r="M110" s="57">
        <f>3+0</f>
        <v>3</v>
      </c>
      <c r="N110" s="57">
        <f>0</f>
        <v>0</v>
      </c>
      <c r="O110" s="57">
        <f>0+7</f>
        <v>7</v>
      </c>
      <c r="P110" s="57">
        <f>0</f>
        <v>0</v>
      </c>
      <c r="Q110" s="57">
        <f>1+14</f>
        <v>15</v>
      </c>
      <c r="R110" s="57">
        <f>1+7</f>
        <v>8</v>
      </c>
      <c r="S110" s="57">
        <v>6</v>
      </c>
      <c r="T110" s="57">
        <f>2+5</f>
        <v>7</v>
      </c>
      <c r="U110" s="57">
        <f>1+3</f>
        <v>4</v>
      </c>
      <c r="V110" s="57">
        <f>2+19</f>
        <v>21</v>
      </c>
      <c r="W110" s="57">
        <f>1+18</f>
        <v>19</v>
      </c>
      <c r="X110" s="57">
        <f>0+12</f>
        <v>12</v>
      </c>
      <c r="Y110" s="58">
        <f>10</f>
        <v>10</v>
      </c>
      <c r="Z110" s="58">
        <v>9</v>
      </c>
      <c r="AA110" s="58">
        <v>9</v>
      </c>
      <c r="AB110" s="58">
        <v>8</v>
      </c>
      <c r="AC110" s="58">
        <v>5</v>
      </c>
      <c r="AD110" s="58">
        <v>5</v>
      </c>
      <c r="AE110" s="58">
        <v>3</v>
      </c>
      <c r="AF110" s="58">
        <v>2</v>
      </c>
      <c r="AG110" s="58">
        <v>1</v>
      </c>
      <c r="AH110" s="58">
        <v>0</v>
      </c>
      <c r="AI110" s="58">
        <v>0</v>
      </c>
      <c r="AJ110" s="58">
        <v>1</v>
      </c>
      <c r="AK110" s="58">
        <v>0</v>
      </c>
      <c r="AL110" s="58">
        <v>1</v>
      </c>
      <c r="AM110" s="58">
        <v>0</v>
      </c>
      <c r="AN110" s="58">
        <v>0</v>
      </c>
      <c r="AO110" s="58">
        <v>0</v>
      </c>
      <c r="AP110" s="58">
        <v>0</v>
      </c>
      <c r="AQ110" s="58">
        <v>0</v>
      </c>
      <c r="AR110" s="58">
        <v>0</v>
      </c>
      <c r="AS110" s="58">
        <v>0</v>
      </c>
      <c r="AT110" s="58">
        <v>0</v>
      </c>
      <c r="AU110" s="58">
        <v>0</v>
      </c>
      <c r="AV110" s="58">
        <v>0</v>
      </c>
      <c r="AW110" s="58">
        <v>0</v>
      </c>
      <c r="AX110" s="58">
        <v>0</v>
      </c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28"/>
      <c r="CI110" s="28"/>
      <c r="CJ110" s="28"/>
      <c r="CK110" s="28"/>
      <c r="CL110" s="28"/>
      <c r="CM110" s="28"/>
      <c r="CN110" s="28"/>
      <c r="CO110" s="28"/>
      <c r="CP110" s="28"/>
      <c r="CQ110" s="28"/>
    </row>
    <row r="111" spans="1:95" s="5" customFormat="1" ht="24.95" customHeight="1" x14ac:dyDescent="0.3">
      <c r="A111" s="60" t="s">
        <v>65</v>
      </c>
      <c r="B111" s="52"/>
      <c r="C111" s="52"/>
      <c r="D111" s="65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 t="s">
        <v>67</v>
      </c>
      <c r="AX111" s="55" t="s">
        <v>67</v>
      </c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</row>
    <row r="112" spans="1:95" s="10" customFormat="1" ht="24.95" customHeight="1" x14ac:dyDescent="0.3">
      <c r="A112" s="61" t="s">
        <v>1</v>
      </c>
      <c r="B112" s="67">
        <f>SUM(B113,B114)</f>
        <v>2855</v>
      </c>
      <c r="C112" s="67">
        <f t="shared" ref="C112:AX112" si="30">SUM(C113,C114)</f>
        <v>3405</v>
      </c>
      <c r="D112" s="74">
        <f t="shared" si="30"/>
        <v>179</v>
      </c>
      <c r="E112" s="67">
        <f t="shared" si="30"/>
        <v>3541</v>
      </c>
      <c r="F112" s="67">
        <f t="shared" si="30"/>
        <v>3453</v>
      </c>
      <c r="G112" s="67">
        <f t="shared" si="30"/>
        <v>3824</v>
      </c>
      <c r="H112" s="67">
        <f t="shared" si="30"/>
        <v>3731</v>
      </c>
      <c r="I112" s="67">
        <f t="shared" si="30"/>
        <v>3904</v>
      </c>
      <c r="J112" s="67">
        <f t="shared" si="30"/>
        <v>3305</v>
      </c>
      <c r="K112" s="67">
        <f t="shared" si="30"/>
        <v>2797</v>
      </c>
      <c r="L112" s="67">
        <f t="shared" si="30"/>
        <v>2068</v>
      </c>
      <c r="M112" s="67">
        <f t="shared" si="30"/>
        <v>1747</v>
      </c>
      <c r="N112" s="67">
        <f t="shared" si="30"/>
        <v>1323</v>
      </c>
      <c r="O112" s="67">
        <f t="shared" si="30"/>
        <v>1604</v>
      </c>
      <c r="P112" s="67">
        <f t="shared" si="30"/>
        <v>2609</v>
      </c>
      <c r="Q112" s="67">
        <f t="shared" si="30"/>
        <v>2530</v>
      </c>
      <c r="R112" s="67">
        <f t="shared" si="30"/>
        <v>2470</v>
      </c>
      <c r="S112" s="67">
        <f t="shared" si="30"/>
        <v>2477</v>
      </c>
      <c r="T112" s="67">
        <f t="shared" si="30"/>
        <v>2439</v>
      </c>
      <c r="U112" s="67">
        <f t="shared" si="30"/>
        <v>2895</v>
      </c>
      <c r="V112" s="67">
        <f t="shared" si="30"/>
        <v>2881</v>
      </c>
      <c r="W112" s="67">
        <f t="shared" si="30"/>
        <v>2351</v>
      </c>
      <c r="X112" s="67">
        <f t="shared" si="30"/>
        <v>379</v>
      </c>
      <c r="Y112" s="72">
        <f t="shared" si="30"/>
        <v>387</v>
      </c>
      <c r="Z112" s="72">
        <f t="shared" si="30"/>
        <v>362</v>
      </c>
      <c r="AA112" s="72">
        <f t="shared" si="30"/>
        <v>377</v>
      </c>
      <c r="AB112" s="72">
        <f t="shared" si="30"/>
        <v>349</v>
      </c>
      <c r="AC112" s="72">
        <f t="shared" si="30"/>
        <v>361</v>
      </c>
      <c r="AD112" s="72">
        <f t="shared" si="30"/>
        <v>336</v>
      </c>
      <c r="AE112" s="72">
        <f t="shared" si="30"/>
        <v>308</v>
      </c>
      <c r="AF112" s="72">
        <f t="shared" si="30"/>
        <v>298</v>
      </c>
      <c r="AG112" s="72">
        <f t="shared" si="30"/>
        <v>323</v>
      </c>
      <c r="AH112" s="72">
        <f t="shared" si="30"/>
        <v>287</v>
      </c>
      <c r="AI112" s="72">
        <f t="shared" si="30"/>
        <v>314</v>
      </c>
      <c r="AJ112" s="72">
        <f t="shared" si="30"/>
        <v>310</v>
      </c>
      <c r="AK112" s="72">
        <f t="shared" si="30"/>
        <v>243</v>
      </c>
      <c r="AL112" s="72">
        <f t="shared" si="30"/>
        <v>231</v>
      </c>
      <c r="AM112" s="72">
        <f t="shared" si="30"/>
        <v>232</v>
      </c>
      <c r="AN112" s="72">
        <f t="shared" si="30"/>
        <v>265</v>
      </c>
      <c r="AO112" s="72">
        <f t="shared" si="30"/>
        <v>278</v>
      </c>
      <c r="AP112" s="72">
        <f t="shared" si="30"/>
        <v>460</v>
      </c>
      <c r="AQ112" s="72">
        <f t="shared" si="30"/>
        <v>496</v>
      </c>
      <c r="AR112" s="72">
        <f t="shared" si="30"/>
        <v>520</v>
      </c>
      <c r="AS112" s="72">
        <f t="shared" si="30"/>
        <v>505</v>
      </c>
      <c r="AT112" s="72">
        <f t="shared" si="30"/>
        <v>522</v>
      </c>
      <c r="AU112" s="72">
        <f t="shared" si="30"/>
        <v>551</v>
      </c>
      <c r="AV112" s="72">
        <f t="shared" si="30"/>
        <v>639</v>
      </c>
      <c r="AW112" s="72">
        <f t="shared" si="30"/>
        <v>516</v>
      </c>
      <c r="AX112" s="72">
        <f t="shared" si="30"/>
        <v>568</v>
      </c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</row>
    <row r="113" spans="1:95" s="5" customFormat="1" ht="24.95" customHeight="1" x14ac:dyDescent="0.3">
      <c r="A113" s="54" t="s">
        <v>2</v>
      </c>
      <c r="B113" s="52">
        <v>2851</v>
      </c>
      <c r="C113" s="52">
        <v>3399</v>
      </c>
      <c r="D113" s="65">
        <v>179</v>
      </c>
      <c r="E113" s="52">
        <v>3524</v>
      </c>
      <c r="F113" s="52">
        <v>3436</v>
      </c>
      <c r="G113" s="52">
        <v>3819</v>
      </c>
      <c r="H113" s="52">
        <v>3731</v>
      </c>
      <c r="I113" s="52">
        <v>3904</v>
      </c>
      <c r="J113" s="52">
        <v>3304</v>
      </c>
      <c r="K113" s="52">
        <v>2797</v>
      </c>
      <c r="L113" s="52">
        <v>2068</v>
      </c>
      <c r="M113" s="52">
        <v>1747</v>
      </c>
      <c r="N113" s="52">
        <v>1323</v>
      </c>
      <c r="O113" s="52">
        <v>1604</v>
      </c>
      <c r="P113" s="52">
        <v>2609</v>
      </c>
      <c r="Q113" s="52">
        <v>2527</v>
      </c>
      <c r="R113" s="52">
        <v>2470</v>
      </c>
      <c r="S113" s="52">
        <v>2477</v>
      </c>
      <c r="T113" s="52">
        <v>2439</v>
      </c>
      <c r="U113" s="52">
        <v>2895</v>
      </c>
      <c r="V113" s="52">
        <v>2881</v>
      </c>
      <c r="W113" s="52">
        <v>2351</v>
      </c>
      <c r="X113" s="52">
        <v>379</v>
      </c>
      <c r="Y113" s="55">
        <v>387</v>
      </c>
      <c r="Z113" s="55">
        <v>362</v>
      </c>
      <c r="AA113" s="55">
        <v>377</v>
      </c>
      <c r="AB113" s="55">
        <v>349</v>
      </c>
      <c r="AC113" s="55">
        <v>361</v>
      </c>
      <c r="AD113" s="55">
        <v>336</v>
      </c>
      <c r="AE113" s="55">
        <v>308</v>
      </c>
      <c r="AF113" s="55">
        <v>298</v>
      </c>
      <c r="AG113" s="55">
        <v>323</v>
      </c>
      <c r="AH113" s="55">
        <v>287</v>
      </c>
      <c r="AI113" s="55">
        <v>314</v>
      </c>
      <c r="AJ113" s="55">
        <v>310</v>
      </c>
      <c r="AK113" s="55">
        <v>243</v>
      </c>
      <c r="AL113" s="55">
        <v>231</v>
      </c>
      <c r="AM113" s="55">
        <v>232</v>
      </c>
      <c r="AN113" s="55">
        <v>265</v>
      </c>
      <c r="AO113" s="55">
        <v>278</v>
      </c>
      <c r="AP113" s="55">
        <v>305</v>
      </c>
      <c r="AQ113" s="55">
        <v>309</v>
      </c>
      <c r="AR113" s="55">
        <v>331</v>
      </c>
      <c r="AS113" s="55">
        <v>317</v>
      </c>
      <c r="AT113" s="55">
        <v>331</v>
      </c>
      <c r="AU113" s="55">
        <v>308</v>
      </c>
      <c r="AV113" s="55">
        <v>372</v>
      </c>
      <c r="AW113" s="55">
        <v>306</v>
      </c>
      <c r="AX113" s="55">
        <v>324</v>
      </c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</row>
    <row r="114" spans="1:95" s="5" customFormat="1" ht="24.95" customHeight="1" x14ac:dyDescent="0.3">
      <c r="A114" s="54" t="s">
        <v>3</v>
      </c>
      <c r="B114" s="52">
        <v>4</v>
      </c>
      <c r="C114" s="52">
        <v>6</v>
      </c>
      <c r="D114" s="65">
        <v>0</v>
      </c>
      <c r="E114" s="52">
        <v>17</v>
      </c>
      <c r="F114" s="52">
        <v>17</v>
      </c>
      <c r="G114" s="52">
        <v>5</v>
      </c>
      <c r="H114" s="52">
        <v>0</v>
      </c>
      <c r="I114" s="52">
        <v>0</v>
      </c>
      <c r="J114" s="52">
        <v>1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3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5">
        <v>0</v>
      </c>
      <c r="Z114" s="55">
        <v>0</v>
      </c>
      <c r="AA114" s="55">
        <v>0</v>
      </c>
      <c r="AB114" s="55">
        <v>0</v>
      </c>
      <c r="AC114" s="55">
        <v>0</v>
      </c>
      <c r="AD114" s="55">
        <v>0</v>
      </c>
      <c r="AE114" s="55">
        <v>0</v>
      </c>
      <c r="AF114" s="55">
        <v>0</v>
      </c>
      <c r="AG114" s="55">
        <v>0</v>
      </c>
      <c r="AH114" s="55">
        <v>0</v>
      </c>
      <c r="AI114" s="55">
        <v>0</v>
      </c>
      <c r="AJ114" s="55">
        <v>0</v>
      </c>
      <c r="AK114" s="55">
        <v>0</v>
      </c>
      <c r="AL114" s="55">
        <v>0</v>
      </c>
      <c r="AM114" s="55">
        <v>0</v>
      </c>
      <c r="AN114" s="55">
        <v>0</v>
      </c>
      <c r="AO114" s="55">
        <v>0</v>
      </c>
      <c r="AP114" s="55">
        <v>155</v>
      </c>
      <c r="AQ114" s="55">
        <v>187</v>
      </c>
      <c r="AR114" s="55">
        <v>189</v>
      </c>
      <c r="AS114" s="55">
        <v>188</v>
      </c>
      <c r="AT114" s="55">
        <v>191</v>
      </c>
      <c r="AU114" s="55">
        <v>243</v>
      </c>
      <c r="AV114" s="55">
        <v>267</v>
      </c>
      <c r="AW114" s="55">
        <v>210</v>
      </c>
      <c r="AX114" s="55">
        <v>244</v>
      </c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28"/>
      <c r="CI114" s="28"/>
      <c r="CJ114" s="28"/>
      <c r="CK114" s="28"/>
      <c r="CL114" s="28"/>
      <c r="CM114" s="28"/>
      <c r="CN114" s="28"/>
      <c r="CO114" s="28"/>
      <c r="CP114" s="28"/>
      <c r="CQ114" s="28"/>
    </row>
    <row r="115" spans="1:95" s="10" customFormat="1" ht="24.95" customHeight="1" x14ac:dyDescent="0.3">
      <c r="A115" s="61" t="s">
        <v>4</v>
      </c>
      <c r="B115" s="67">
        <f>SUM(B116,B117)</f>
        <v>212</v>
      </c>
      <c r="C115" s="67">
        <f t="shared" ref="C115:AX115" si="31">SUM(C116,C117)</f>
        <v>269</v>
      </c>
      <c r="D115" s="74">
        <f t="shared" si="31"/>
        <v>1</v>
      </c>
      <c r="E115" s="67">
        <f t="shared" si="31"/>
        <v>289</v>
      </c>
      <c r="F115" s="67">
        <f t="shared" si="31"/>
        <v>284</v>
      </c>
      <c r="G115" s="67">
        <f t="shared" si="31"/>
        <v>298</v>
      </c>
      <c r="H115" s="67">
        <f t="shared" si="31"/>
        <v>314</v>
      </c>
      <c r="I115" s="67">
        <f t="shared" si="31"/>
        <v>380</v>
      </c>
      <c r="J115" s="67">
        <f t="shared" si="31"/>
        <v>390</v>
      </c>
      <c r="K115" s="67">
        <f t="shared" si="31"/>
        <v>397</v>
      </c>
      <c r="L115" s="67">
        <f t="shared" si="31"/>
        <v>279</v>
      </c>
      <c r="M115" s="67">
        <f t="shared" si="31"/>
        <v>220</v>
      </c>
      <c r="N115" s="67">
        <f t="shared" si="31"/>
        <v>200</v>
      </c>
      <c r="O115" s="67">
        <f t="shared" si="31"/>
        <v>270</v>
      </c>
      <c r="P115" s="67">
        <f t="shared" si="31"/>
        <v>435</v>
      </c>
      <c r="Q115" s="67">
        <f t="shared" si="31"/>
        <v>480</v>
      </c>
      <c r="R115" s="67">
        <f t="shared" si="31"/>
        <v>470</v>
      </c>
      <c r="S115" s="67">
        <f t="shared" si="31"/>
        <v>510</v>
      </c>
      <c r="T115" s="67">
        <f t="shared" si="31"/>
        <v>494</v>
      </c>
      <c r="U115" s="67">
        <f t="shared" si="31"/>
        <v>564</v>
      </c>
      <c r="V115" s="67">
        <f t="shared" si="31"/>
        <v>498</v>
      </c>
      <c r="W115" s="67">
        <f t="shared" si="31"/>
        <v>430</v>
      </c>
      <c r="X115" s="67">
        <f t="shared" si="31"/>
        <v>88</v>
      </c>
      <c r="Y115" s="72">
        <f t="shared" si="31"/>
        <v>71</v>
      </c>
      <c r="Z115" s="72">
        <f t="shared" si="31"/>
        <v>71</v>
      </c>
      <c r="AA115" s="72">
        <f t="shared" si="31"/>
        <v>73</v>
      </c>
      <c r="AB115" s="72">
        <f t="shared" si="31"/>
        <v>61</v>
      </c>
      <c r="AC115" s="72">
        <f t="shared" si="31"/>
        <v>66</v>
      </c>
      <c r="AD115" s="72">
        <f t="shared" si="31"/>
        <v>78</v>
      </c>
      <c r="AE115" s="72">
        <f t="shared" si="31"/>
        <v>65</v>
      </c>
      <c r="AF115" s="72">
        <f t="shared" si="31"/>
        <v>63</v>
      </c>
      <c r="AG115" s="72">
        <f t="shared" si="31"/>
        <v>63</v>
      </c>
      <c r="AH115" s="72">
        <f t="shared" si="31"/>
        <v>60</v>
      </c>
      <c r="AI115" s="72">
        <f t="shared" si="31"/>
        <v>62</v>
      </c>
      <c r="AJ115" s="72">
        <f t="shared" si="31"/>
        <v>55</v>
      </c>
      <c r="AK115" s="72">
        <f t="shared" si="31"/>
        <v>40</v>
      </c>
      <c r="AL115" s="72">
        <f t="shared" si="31"/>
        <v>59</v>
      </c>
      <c r="AM115" s="72">
        <f t="shared" si="31"/>
        <v>50</v>
      </c>
      <c r="AN115" s="72">
        <f t="shared" si="31"/>
        <v>73</v>
      </c>
      <c r="AO115" s="72">
        <f t="shared" si="31"/>
        <v>55</v>
      </c>
      <c r="AP115" s="72">
        <f t="shared" si="31"/>
        <v>131</v>
      </c>
      <c r="AQ115" s="72">
        <f t="shared" si="31"/>
        <v>195</v>
      </c>
      <c r="AR115" s="72">
        <f t="shared" si="31"/>
        <v>185</v>
      </c>
      <c r="AS115" s="72">
        <f t="shared" si="31"/>
        <v>189</v>
      </c>
      <c r="AT115" s="72">
        <f t="shared" si="31"/>
        <v>170</v>
      </c>
      <c r="AU115" s="72">
        <f t="shared" si="31"/>
        <v>198</v>
      </c>
      <c r="AV115" s="72">
        <f t="shared" si="31"/>
        <v>210</v>
      </c>
      <c r="AW115" s="72">
        <f t="shared" si="31"/>
        <v>366</v>
      </c>
      <c r="AX115" s="72">
        <f t="shared" si="31"/>
        <v>397</v>
      </c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</row>
    <row r="116" spans="1:95" s="5" customFormat="1" ht="24.95" customHeight="1" x14ac:dyDescent="0.3">
      <c r="A116" s="54" t="s">
        <v>2</v>
      </c>
      <c r="B116" s="52">
        <v>212</v>
      </c>
      <c r="C116" s="52">
        <v>269</v>
      </c>
      <c r="D116" s="65">
        <v>1</v>
      </c>
      <c r="E116" s="52">
        <v>286</v>
      </c>
      <c r="F116" s="52">
        <v>280</v>
      </c>
      <c r="G116" s="52">
        <v>298</v>
      </c>
      <c r="H116" s="52">
        <v>314</v>
      </c>
      <c r="I116" s="52">
        <v>380</v>
      </c>
      <c r="J116" s="52">
        <v>389</v>
      </c>
      <c r="K116" s="52">
        <v>397</v>
      </c>
      <c r="L116" s="52">
        <v>279</v>
      </c>
      <c r="M116" s="52">
        <v>220</v>
      </c>
      <c r="N116" s="52">
        <v>200</v>
      </c>
      <c r="O116" s="52">
        <v>270</v>
      </c>
      <c r="P116" s="52">
        <v>435</v>
      </c>
      <c r="Q116" s="52">
        <v>480</v>
      </c>
      <c r="R116" s="52">
        <v>470</v>
      </c>
      <c r="S116" s="52">
        <v>510</v>
      </c>
      <c r="T116" s="52">
        <v>494</v>
      </c>
      <c r="U116" s="52">
        <v>564</v>
      </c>
      <c r="V116" s="52">
        <v>498</v>
      </c>
      <c r="W116" s="52">
        <v>430</v>
      </c>
      <c r="X116" s="52">
        <v>88</v>
      </c>
      <c r="Y116" s="55">
        <v>71</v>
      </c>
      <c r="Z116" s="55">
        <v>71</v>
      </c>
      <c r="AA116" s="55">
        <v>73</v>
      </c>
      <c r="AB116" s="55">
        <v>61</v>
      </c>
      <c r="AC116" s="55">
        <v>66</v>
      </c>
      <c r="AD116" s="55">
        <v>78</v>
      </c>
      <c r="AE116" s="55">
        <v>65</v>
      </c>
      <c r="AF116" s="55">
        <v>63</v>
      </c>
      <c r="AG116" s="55">
        <v>63</v>
      </c>
      <c r="AH116" s="55">
        <v>60</v>
      </c>
      <c r="AI116" s="55">
        <v>62</v>
      </c>
      <c r="AJ116" s="55">
        <v>55</v>
      </c>
      <c r="AK116" s="55">
        <v>40</v>
      </c>
      <c r="AL116" s="55">
        <v>59</v>
      </c>
      <c r="AM116" s="55">
        <v>50</v>
      </c>
      <c r="AN116" s="55">
        <v>73</v>
      </c>
      <c r="AO116" s="55">
        <v>55</v>
      </c>
      <c r="AP116" s="55">
        <v>54</v>
      </c>
      <c r="AQ116" s="55">
        <v>99</v>
      </c>
      <c r="AR116" s="55">
        <v>61</v>
      </c>
      <c r="AS116" s="55">
        <v>75</v>
      </c>
      <c r="AT116" s="55">
        <v>59</v>
      </c>
      <c r="AU116" s="55">
        <v>68</v>
      </c>
      <c r="AV116" s="55">
        <v>83</v>
      </c>
      <c r="AW116" s="55">
        <v>136</v>
      </c>
      <c r="AX116" s="55">
        <v>154</v>
      </c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28"/>
      <c r="CI116" s="28"/>
      <c r="CJ116" s="28"/>
      <c r="CK116" s="28"/>
      <c r="CL116" s="28"/>
      <c r="CM116" s="28"/>
      <c r="CN116" s="28"/>
      <c r="CO116" s="28"/>
      <c r="CP116" s="28"/>
      <c r="CQ116" s="28"/>
    </row>
    <row r="117" spans="1:95" s="5" customFormat="1" ht="24.95" customHeight="1" x14ac:dyDescent="0.3">
      <c r="A117" s="54" t="s">
        <v>3</v>
      </c>
      <c r="B117" s="52">
        <v>0</v>
      </c>
      <c r="C117" s="52">
        <v>0</v>
      </c>
      <c r="D117" s="65">
        <v>0</v>
      </c>
      <c r="E117" s="52">
        <v>3</v>
      </c>
      <c r="F117" s="52">
        <v>4</v>
      </c>
      <c r="G117" s="52">
        <v>0</v>
      </c>
      <c r="H117" s="52">
        <v>0</v>
      </c>
      <c r="I117" s="52">
        <v>0</v>
      </c>
      <c r="J117" s="52">
        <v>1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5">
        <v>0</v>
      </c>
      <c r="Z117" s="55">
        <v>0</v>
      </c>
      <c r="AA117" s="55">
        <v>0</v>
      </c>
      <c r="AB117" s="55">
        <v>0</v>
      </c>
      <c r="AC117" s="55">
        <v>0</v>
      </c>
      <c r="AD117" s="55">
        <v>0</v>
      </c>
      <c r="AE117" s="55">
        <v>0</v>
      </c>
      <c r="AF117" s="55">
        <v>0</v>
      </c>
      <c r="AG117" s="55">
        <v>0</v>
      </c>
      <c r="AH117" s="55">
        <v>0</v>
      </c>
      <c r="AI117" s="55">
        <v>0</v>
      </c>
      <c r="AJ117" s="55">
        <v>0</v>
      </c>
      <c r="AK117" s="55">
        <v>0</v>
      </c>
      <c r="AL117" s="55">
        <v>0</v>
      </c>
      <c r="AM117" s="55">
        <v>0</v>
      </c>
      <c r="AN117" s="55">
        <v>0</v>
      </c>
      <c r="AO117" s="55">
        <v>0</v>
      </c>
      <c r="AP117" s="55">
        <v>77</v>
      </c>
      <c r="AQ117" s="55">
        <v>96</v>
      </c>
      <c r="AR117" s="55">
        <v>124</v>
      </c>
      <c r="AS117" s="55">
        <v>114</v>
      </c>
      <c r="AT117" s="55">
        <v>111</v>
      </c>
      <c r="AU117" s="55">
        <v>130</v>
      </c>
      <c r="AV117" s="55">
        <v>127</v>
      </c>
      <c r="AW117" s="55">
        <v>230</v>
      </c>
      <c r="AX117" s="55">
        <v>243</v>
      </c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28"/>
      <c r="CI117" s="28"/>
      <c r="CJ117" s="28"/>
      <c r="CK117" s="28"/>
      <c r="CL117" s="28"/>
      <c r="CM117" s="28"/>
      <c r="CN117" s="28"/>
      <c r="CO117" s="28"/>
      <c r="CP117" s="28"/>
      <c r="CQ117" s="28"/>
    </row>
    <row r="118" spans="1:95" s="10" customFormat="1" ht="24.95" customHeight="1" x14ac:dyDescent="0.3">
      <c r="A118" s="61" t="s">
        <v>5</v>
      </c>
      <c r="B118" s="67">
        <f>SUM(B119,B120)</f>
        <v>313</v>
      </c>
      <c r="C118" s="67">
        <f t="shared" ref="C118:AX118" si="32">SUM(C119,C120)</f>
        <v>168</v>
      </c>
      <c r="D118" s="74">
        <f t="shared" si="32"/>
        <v>46</v>
      </c>
      <c r="E118" s="67">
        <f t="shared" si="32"/>
        <v>408</v>
      </c>
      <c r="F118" s="67">
        <f t="shared" si="32"/>
        <v>392</v>
      </c>
      <c r="G118" s="67">
        <f t="shared" si="32"/>
        <v>456</v>
      </c>
      <c r="H118" s="67">
        <f t="shared" si="32"/>
        <v>301</v>
      </c>
      <c r="I118" s="67">
        <f t="shared" si="32"/>
        <v>448</v>
      </c>
      <c r="J118" s="67">
        <f t="shared" si="32"/>
        <v>315</v>
      </c>
      <c r="K118" s="67">
        <f t="shared" si="32"/>
        <v>297</v>
      </c>
      <c r="L118" s="67">
        <f t="shared" si="32"/>
        <v>309</v>
      </c>
      <c r="M118" s="67">
        <f t="shared" si="32"/>
        <v>45</v>
      </c>
      <c r="N118" s="67">
        <f t="shared" si="32"/>
        <v>24</v>
      </c>
      <c r="O118" s="67">
        <f t="shared" si="32"/>
        <v>219</v>
      </c>
      <c r="P118" s="67">
        <f t="shared" si="32"/>
        <v>38</v>
      </c>
      <c r="Q118" s="67">
        <f t="shared" si="32"/>
        <v>907</v>
      </c>
      <c r="R118" s="67">
        <f t="shared" si="32"/>
        <v>430</v>
      </c>
      <c r="S118" s="67">
        <f t="shared" si="32"/>
        <v>452</v>
      </c>
      <c r="T118" s="67">
        <f t="shared" si="32"/>
        <v>550</v>
      </c>
      <c r="U118" s="67">
        <f t="shared" si="32"/>
        <v>499</v>
      </c>
      <c r="V118" s="67">
        <f t="shared" si="32"/>
        <v>1034</v>
      </c>
      <c r="W118" s="67">
        <f t="shared" si="32"/>
        <v>970</v>
      </c>
      <c r="X118" s="67">
        <f t="shared" si="32"/>
        <v>938</v>
      </c>
      <c r="Y118" s="72">
        <f t="shared" si="32"/>
        <v>859</v>
      </c>
      <c r="Z118" s="72">
        <f t="shared" si="32"/>
        <v>654</v>
      </c>
      <c r="AA118" s="72">
        <f t="shared" si="32"/>
        <v>645</v>
      </c>
      <c r="AB118" s="72">
        <f t="shared" si="32"/>
        <v>545</v>
      </c>
      <c r="AC118" s="72">
        <f t="shared" si="32"/>
        <v>465</v>
      </c>
      <c r="AD118" s="72">
        <f t="shared" si="32"/>
        <v>486</v>
      </c>
      <c r="AE118" s="72">
        <f t="shared" si="32"/>
        <v>516</v>
      </c>
      <c r="AF118" s="72">
        <f t="shared" si="32"/>
        <v>453</v>
      </c>
      <c r="AG118" s="72">
        <f t="shared" si="32"/>
        <v>419</v>
      </c>
      <c r="AH118" s="72">
        <f t="shared" si="32"/>
        <v>391</v>
      </c>
      <c r="AI118" s="72">
        <f t="shared" si="32"/>
        <v>340</v>
      </c>
      <c r="AJ118" s="72">
        <f t="shared" si="32"/>
        <v>346</v>
      </c>
      <c r="AK118" s="72">
        <f t="shared" si="32"/>
        <v>312</v>
      </c>
      <c r="AL118" s="72">
        <f t="shared" si="32"/>
        <v>299</v>
      </c>
      <c r="AM118" s="72">
        <f t="shared" si="32"/>
        <v>0</v>
      </c>
      <c r="AN118" s="72">
        <f t="shared" si="32"/>
        <v>0</v>
      </c>
      <c r="AO118" s="72">
        <f t="shared" si="32"/>
        <v>0</v>
      </c>
      <c r="AP118" s="72">
        <f t="shared" si="32"/>
        <v>0</v>
      </c>
      <c r="AQ118" s="72">
        <f t="shared" si="32"/>
        <v>0</v>
      </c>
      <c r="AR118" s="72">
        <f t="shared" si="32"/>
        <v>0</v>
      </c>
      <c r="AS118" s="72">
        <f t="shared" si="32"/>
        <v>0</v>
      </c>
      <c r="AT118" s="72">
        <f t="shared" si="32"/>
        <v>0</v>
      </c>
      <c r="AU118" s="72">
        <f t="shared" si="32"/>
        <v>0</v>
      </c>
      <c r="AV118" s="72">
        <f t="shared" si="32"/>
        <v>0</v>
      </c>
      <c r="AW118" s="72">
        <f t="shared" si="32"/>
        <v>0</v>
      </c>
      <c r="AX118" s="72">
        <f t="shared" si="32"/>
        <v>0</v>
      </c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</row>
    <row r="119" spans="1:95" s="5" customFormat="1" ht="24.95" customHeight="1" x14ac:dyDescent="0.3">
      <c r="A119" s="54" t="s">
        <v>2</v>
      </c>
      <c r="B119" s="52">
        <v>299</v>
      </c>
      <c r="C119" s="52">
        <v>165</v>
      </c>
      <c r="D119" s="65">
        <f>33+13</f>
        <v>46</v>
      </c>
      <c r="E119" s="52">
        <f>335+61</f>
        <v>396</v>
      </c>
      <c r="F119" s="52">
        <f>310+71</f>
        <v>381</v>
      </c>
      <c r="G119" s="52">
        <f>368+76</f>
        <v>444</v>
      </c>
      <c r="H119" s="52">
        <f>211+90</f>
        <v>301</v>
      </c>
      <c r="I119" s="52">
        <f>319+129</f>
        <v>448</v>
      </c>
      <c r="J119" s="52">
        <f>240+75</f>
        <v>315</v>
      </c>
      <c r="K119" s="52">
        <f>212+85</f>
        <v>297</v>
      </c>
      <c r="L119" s="52">
        <f>47+262</f>
        <v>309</v>
      </c>
      <c r="M119" s="52">
        <f>37+8</f>
        <v>45</v>
      </c>
      <c r="N119" s="52">
        <v>24</v>
      </c>
      <c r="O119" s="52">
        <f>190+29</f>
        <v>219</v>
      </c>
      <c r="P119" s="52">
        <v>38</v>
      </c>
      <c r="Q119" s="52">
        <f>33+873</f>
        <v>906</v>
      </c>
      <c r="R119" s="52">
        <v>430</v>
      </c>
      <c r="S119" s="52">
        <f>40+412</f>
        <v>452</v>
      </c>
      <c r="T119" s="52">
        <f>42+508</f>
        <v>550</v>
      </c>
      <c r="U119" s="52">
        <f>33+466</f>
        <v>499</v>
      </c>
      <c r="V119" s="52">
        <f>27+998</f>
        <v>1025</v>
      </c>
      <c r="W119" s="52">
        <f>28+929</f>
        <v>957</v>
      </c>
      <c r="X119" s="52">
        <f>4+923</f>
        <v>927</v>
      </c>
      <c r="Y119" s="55">
        <f>5+846</f>
        <v>851</v>
      </c>
      <c r="Z119" s="55">
        <f>647+5</f>
        <v>652</v>
      </c>
      <c r="AA119" s="55">
        <v>641</v>
      </c>
      <c r="AB119" s="55">
        <v>541</v>
      </c>
      <c r="AC119" s="55">
        <v>461</v>
      </c>
      <c r="AD119" s="55">
        <v>482</v>
      </c>
      <c r="AE119" s="55">
        <v>512</v>
      </c>
      <c r="AF119" s="55">
        <v>449</v>
      </c>
      <c r="AG119" s="55">
        <v>415</v>
      </c>
      <c r="AH119" s="55">
        <v>387</v>
      </c>
      <c r="AI119" s="55">
        <v>337</v>
      </c>
      <c r="AJ119" s="55">
        <v>344</v>
      </c>
      <c r="AK119" s="55">
        <v>310</v>
      </c>
      <c r="AL119" s="55">
        <v>297</v>
      </c>
      <c r="AM119" s="55">
        <v>0</v>
      </c>
      <c r="AN119" s="55">
        <v>0</v>
      </c>
      <c r="AO119" s="55">
        <v>0</v>
      </c>
      <c r="AP119" s="55">
        <v>0</v>
      </c>
      <c r="AQ119" s="55">
        <v>0</v>
      </c>
      <c r="AR119" s="55">
        <v>0</v>
      </c>
      <c r="AS119" s="55">
        <v>0</v>
      </c>
      <c r="AT119" s="55">
        <v>0</v>
      </c>
      <c r="AU119" s="55">
        <v>0</v>
      </c>
      <c r="AV119" s="55">
        <v>0</v>
      </c>
      <c r="AW119" s="55">
        <v>0</v>
      </c>
      <c r="AX119" s="55">
        <v>0</v>
      </c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</row>
    <row r="120" spans="1:95" s="5" customFormat="1" ht="24.95" customHeight="1" thickBot="1" x14ac:dyDescent="0.35">
      <c r="A120" s="56" t="s">
        <v>3</v>
      </c>
      <c r="B120" s="57">
        <v>14</v>
      </c>
      <c r="C120" s="57">
        <v>3</v>
      </c>
      <c r="D120" s="66">
        <v>0</v>
      </c>
      <c r="E120" s="57">
        <f>12+0</f>
        <v>12</v>
      </c>
      <c r="F120" s="57">
        <f>10+1</f>
        <v>11</v>
      </c>
      <c r="G120" s="57">
        <f>11+1</f>
        <v>12</v>
      </c>
      <c r="H120" s="57">
        <f>0+0</f>
        <v>0</v>
      </c>
      <c r="I120" s="57">
        <v>0</v>
      </c>
      <c r="J120" s="57">
        <f>0</f>
        <v>0</v>
      </c>
      <c r="K120" s="57">
        <v>0</v>
      </c>
      <c r="L120" s="57">
        <f>0</f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1</v>
      </c>
      <c r="R120" s="57">
        <v>0</v>
      </c>
      <c r="S120" s="57">
        <v>0</v>
      </c>
      <c r="T120" s="57">
        <v>0</v>
      </c>
      <c r="U120" s="57">
        <v>0</v>
      </c>
      <c r="V120" s="57">
        <f>0+9</f>
        <v>9</v>
      </c>
      <c r="W120" s="57">
        <v>13</v>
      </c>
      <c r="X120" s="57">
        <v>11</v>
      </c>
      <c r="Y120" s="58">
        <v>8</v>
      </c>
      <c r="Z120" s="58">
        <v>2</v>
      </c>
      <c r="AA120" s="58">
        <v>4</v>
      </c>
      <c r="AB120" s="58">
        <v>4</v>
      </c>
      <c r="AC120" s="58">
        <v>4</v>
      </c>
      <c r="AD120" s="58">
        <v>4</v>
      </c>
      <c r="AE120" s="58">
        <v>4</v>
      </c>
      <c r="AF120" s="58">
        <v>4</v>
      </c>
      <c r="AG120" s="58">
        <v>4</v>
      </c>
      <c r="AH120" s="58">
        <v>4</v>
      </c>
      <c r="AI120" s="58">
        <v>3</v>
      </c>
      <c r="AJ120" s="58">
        <v>2</v>
      </c>
      <c r="AK120" s="58">
        <v>2</v>
      </c>
      <c r="AL120" s="58">
        <v>2</v>
      </c>
      <c r="AM120" s="58">
        <v>0</v>
      </c>
      <c r="AN120" s="58">
        <v>0</v>
      </c>
      <c r="AO120" s="58">
        <v>0</v>
      </c>
      <c r="AP120" s="58">
        <v>0</v>
      </c>
      <c r="AQ120" s="58">
        <v>0</v>
      </c>
      <c r="AR120" s="58">
        <v>0</v>
      </c>
      <c r="AS120" s="58">
        <v>0</v>
      </c>
      <c r="AT120" s="58">
        <v>0</v>
      </c>
      <c r="AU120" s="58">
        <v>0</v>
      </c>
      <c r="AV120" s="58">
        <v>0</v>
      </c>
      <c r="AW120" s="58">
        <v>0</v>
      </c>
      <c r="AX120" s="58">
        <v>0</v>
      </c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</row>
    <row r="121" spans="1:95" s="5" customFormat="1" ht="24.95" customHeight="1" x14ac:dyDescent="0.3">
      <c r="A121" s="49" t="s">
        <v>6</v>
      </c>
      <c r="B121" s="67">
        <f>SUM(B122,B125,B128)</f>
        <v>129723</v>
      </c>
      <c r="C121" s="67">
        <f t="shared" ref="C121:AX121" si="33">SUM(C122,C125,C128)</f>
        <v>134549</v>
      </c>
      <c r="D121" s="67">
        <f t="shared" si="33"/>
        <v>140698</v>
      </c>
      <c r="E121" s="67">
        <f t="shared" si="33"/>
        <v>143219</v>
      </c>
      <c r="F121" s="67">
        <f t="shared" si="33"/>
        <v>145537</v>
      </c>
      <c r="G121" s="67">
        <f t="shared" si="33"/>
        <v>151699</v>
      </c>
      <c r="H121" s="68">
        <f t="shared" si="33"/>
        <v>154325</v>
      </c>
      <c r="I121" s="67">
        <f t="shared" si="33"/>
        <v>159019</v>
      </c>
      <c r="J121" s="67">
        <f t="shared" si="33"/>
        <v>156417</v>
      </c>
      <c r="K121" s="67">
        <f t="shared" si="33"/>
        <v>161091</v>
      </c>
      <c r="L121" s="67">
        <f t="shared" si="33"/>
        <v>164987</v>
      </c>
      <c r="M121" s="67">
        <f t="shared" si="33"/>
        <v>167383</v>
      </c>
      <c r="N121" s="67">
        <f t="shared" si="33"/>
        <v>171305</v>
      </c>
      <c r="O121" s="67">
        <f t="shared" si="33"/>
        <v>175940</v>
      </c>
      <c r="P121" s="67">
        <f t="shared" si="33"/>
        <v>178723</v>
      </c>
      <c r="Q121" s="67">
        <f t="shared" si="33"/>
        <v>179578</v>
      </c>
      <c r="R121" s="67">
        <f t="shared" si="33"/>
        <v>179006</v>
      </c>
      <c r="S121" s="67">
        <f t="shared" si="33"/>
        <v>176901</v>
      </c>
      <c r="T121" s="67">
        <f t="shared" si="33"/>
        <v>175012</v>
      </c>
      <c r="U121" s="67">
        <f t="shared" si="33"/>
        <v>174198</v>
      </c>
      <c r="V121" s="67">
        <f t="shared" si="33"/>
        <v>175161</v>
      </c>
      <c r="W121" s="67">
        <f t="shared" si="33"/>
        <v>174145</v>
      </c>
      <c r="X121" s="67">
        <f t="shared" si="33"/>
        <v>173960</v>
      </c>
      <c r="Y121" s="67">
        <f t="shared" si="33"/>
        <v>172767</v>
      </c>
      <c r="Z121" s="67">
        <f t="shared" si="33"/>
        <v>172971</v>
      </c>
      <c r="AA121" s="68">
        <f t="shared" si="33"/>
        <v>173330</v>
      </c>
      <c r="AB121" s="67">
        <f t="shared" si="33"/>
        <v>174520</v>
      </c>
      <c r="AC121" s="67">
        <f t="shared" si="33"/>
        <v>174930</v>
      </c>
      <c r="AD121" s="67">
        <f t="shared" si="33"/>
        <v>178198</v>
      </c>
      <c r="AE121" s="67">
        <f t="shared" si="33"/>
        <v>181013</v>
      </c>
      <c r="AF121" s="67">
        <f t="shared" si="33"/>
        <v>183855</v>
      </c>
      <c r="AG121" s="67">
        <f t="shared" si="33"/>
        <v>188732</v>
      </c>
      <c r="AH121" s="67">
        <f t="shared" si="33"/>
        <v>193606</v>
      </c>
      <c r="AI121" s="67">
        <f t="shared" si="33"/>
        <v>198971</v>
      </c>
      <c r="AJ121" s="67">
        <f t="shared" si="33"/>
        <v>204222</v>
      </c>
      <c r="AK121" s="67">
        <f t="shared" si="33"/>
        <v>207074</v>
      </c>
      <c r="AL121" s="67">
        <f t="shared" si="33"/>
        <v>212713</v>
      </c>
      <c r="AM121" s="67">
        <f t="shared" si="33"/>
        <v>219855</v>
      </c>
      <c r="AN121" s="67">
        <f t="shared" si="33"/>
        <v>228386</v>
      </c>
      <c r="AO121" s="67">
        <f t="shared" si="33"/>
        <v>238525</v>
      </c>
      <c r="AP121" s="67">
        <f t="shared" si="33"/>
        <v>251978</v>
      </c>
      <c r="AQ121" s="67">
        <f t="shared" si="33"/>
        <v>264320</v>
      </c>
      <c r="AR121" s="67">
        <f t="shared" si="33"/>
        <v>277014</v>
      </c>
      <c r="AS121" s="67">
        <f t="shared" si="33"/>
        <v>291885</v>
      </c>
      <c r="AT121" s="67">
        <f t="shared" si="33"/>
        <v>310424</v>
      </c>
      <c r="AU121" s="67">
        <f t="shared" si="33"/>
        <v>335303</v>
      </c>
      <c r="AV121" s="67">
        <f t="shared" si="33"/>
        <v>357248</v>
      </c>
      <c r="AW121" s="67">
        <f t="shared" si="33"/>
        <v>372322</v>
      </c>
      <c r="AX121" s="67">
        <f t="shared" si="33"/>
        <v>390004</v>
      </c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28"/>
      <c r="CI121" s="28"/>
      <c r="CJ121" s="28"/>
      <c r="CK121" s="28"/>
      <c r="CL121" s="28"/>
      <c r="CM121" s="28"/>
      <c r="CN121" s="28"/>
      <c r="CO121" s="28"/>
      <c r="CP121" s="28"/>
      <c r="CQ121" s="28"/>
    </row>
    <row r="122" spans="1:95" s="10" customFormat="1" ht="24.95" customHeight="1" x14ac:dyDescent="0.2">
      <c r="A122" s="51" t="s">
        <v>1</v>
      </c>
      <c r="B122" s="67">
        <f>SUM(B123,B124)</f>
        <v>80430</v>
      </c>
      <c r="C122" s="67">
        <f t="shared" ref="C122:AX122" si="34">SUM(C123,C124)</f>
        <v>85340</v>
      </c>
      <c r="D122" s="67">
        <f t="shared" si="34"/>
        <v>89974</v>
      </c>
      <c r="E122" s="67">
        <f t="shared" si="34"/>
        <v>95137</v>
      </c>
      <c r="F122" s="67">
        <f t="shared" si="34"/>
        <v>98035</v>
      </c>
      <c r="G122" s="67">
        <f t="shared" si="34"/>
        <v>105505</v>
      </c>
      <c r="H122" s="67">
        <f t="shared" si="34"/>
        <v>111045</v>
      </c>
      <c r="I122" s="67">
        <f t="shared" si="34"/>
        <v>115487</v>
      </c>
      <c r="J122" s="67">
        <f t="shared" si="34"/>
        <v>114733</v>
      </c>
      <c r="K122" s="67">
        <f t="shared" si="34"/>
        <v>118912</v>
      </c>
      <c r="L122" s="67">
        <f t="shared" si="34"/>
        <v>122044</v>
      </c>
      <c r="M122" s="67">
        <f t="shared" si="34"/>
        <v>124449</v>
      </c>
      <c r="N122" s="67">
        <f t="shared" si="34"/>
        <v>128145</v>
      </c>
      <c r="O122" s="67">
        <f t="shared" si="34"/>
        <v>132069</v>
      </c>
      <c r="P122" s="67">
        <f t="shared" si="34"/>
        <v>134400</v>
      </c>
      <c r="Q122" s="67">
        <f t="shared" si="34"/>
        <v>134785</v>
      </c>
      <c r="R122" s="67">
        <f t="shared" si="34"/>
        <v>135207</v>
      </c>
      <c r="S122" s="67">
        <f t="shared" si="34"/>
        <v>133678</v>
      </c>
      <c r="T122" s="67">
        <f t="shared" si="34"/>
        <v>132165</v>
      </c>
      <c r="U122" s="67">
        <f t="shared" si="34"/>
        <v>132186</v>
      </c>
      <c r="V122" s="67">
        <f t="shared" si="34"/>
        <v>132054</v>
      </c>
      <c r="W122" s="67">
        <f t="shared" si="34"/>
        <v>130270</v>
      </c>
      <c r="X122" s="67">
        <f t="shared" si="34"/>
        <v>130319</v>
      </c>
      <c r="Y122" s="67">
        <f t="shared" si="34"/>
        <v>129685</v>
      </c>
      <c r="Z122" s="67">
        <f t="shared" si="34"/>
        <v>130235</v>
      </c>
      <c r="AA122" s="67">
        <f t="shared" si="34"/>
        <v>131240</v>
      </c>
      <c r="AB122" s="67">
        <f t="shared" si="34"/>
        <v>132198</v>
      </c>
      <c r="AC122" s="67">
        <f t="shared" si="34"/>
        <v>132663</v>
      </c>
      <c r="AD122" s="67">
        <f t="shared" si="34"/>
        <v>134796</v>
      </c>
      <c r="AE122" s="67">
        <f t="shared" si="34"/>
        <v>136489</v>
      </c>
      <c r="AF122" s="67">
        <f t="shared" si="34"/>
        <v>138754</v>
      </c>
      <c r="AG122" s="67">
        <f t="shared" si="34"/>
        <v>142119</v>
      </c>
      <c r="AH122" s="67">
        <f t="shared" si="34"/>
        <v>145440</v>
      </c>
      <c r="AI122" s="67">
        <f t="shared" si="34"/>
        <v>149108</v>
      </c>
      <c r="AJ122" s="67">
        <f t="shared" si="34"/>
        <v>152533</v>
      </c>
      <c r="AK122" s="67">
        <f t="shared" si="34"/>
        <v>154325</v>
      </c>
      <c r="AL122" s="67">
        <f t="shared" si="34"/>
        <v>157971</v>
      </c>
      <c r="AM122" s="67">
        <f t="shared" si="34"/>
        <v>163648</v>
      </c>
      <c r="AN122" s="67">
        <f t="shared" si="34"/>
        <v>169980</v>
      </c>
      <c r="AO122" s="67">
        <f t="shared" si="34"/>
        <v>177611</v>
      </c>
      <c r="AP122" s="67">
        <f t="shared" si="34"/>
        <v>186793</v>
      </c>
      <c r="AQ122" s="67">
        <f t="shared" si="34"/>
        <v>194702</v>
      </c>
      <c r="AR122" s="67">
        <f t="shared" si="34"/>
        <v>203316</v>
      </c>
      <c r="AS122" s="67">
        <f t="shared" si="34"/>
        <v>213700</v>
      </c>
      <c r="AT122" s="67">
        <f t="shared" si="34"/>
        <v>226493</v>
      </c>
      <c r="AU122" s="67">
        <f t="shared" si="34"/>
        <v>242889</v>
      </c>
      <c r="AV122" s="67">
        <f t="shared" si="34"/>
        <v>258332</v>
      </c>
      <c r="AW122" s="67">
        <f t="shared" si="34"/>
        <v>254822</v>
      </c>
      <c r="AX122" s="67">
        <f t="shared" si="34"/>
        <v>257405</v>
      </c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</row>
    <row r="123" spans="1:95" s="5" customFormat="1" ht="24.95" customHeight="1" x14ac:dyDescent="0.3">
      <c r="A123" s="54" t="s">
        <v>2</v>
      </c>
      <c r="B123" s="52">
        <f>SUM(B13,B23,B33,B43,B53,B63,B73,B83,B93,B103,B113)</f>
        <v>63081</v>
      </c>
      <c r="C123" s="52">
        <f t="shared" ref="C123:AX124" si="35">SUM(C13,C23,C33,C43,C53,C63,C73,C83,C93,C103,C113)</f>
        <v>66267</v>
      </c>
      <c r="D123" s="52">
        <f t="shared" si="35"/>
        <v>69207</v>
      </c>
      <c r="E123" s="52">
        <f t="shared" si="35"/>
        <v>71923</v>
      </c>
      <c r="F123" s="52">
        <f t="shared" si="35"/>
        <v>73769</v>
      </c>
      <c r="G123" s="52">
        <f t="shared" si="35"/>
        <v>78131</v>
      </c>
      <c r="H123" s="52">
        <f t="shared" si="35"/>
        <v>81948</v>
      </c>
      <c r="I123" s="52">
        <f t="shared" si="35"/>
        <v>84627</v>
      </c>
      <c r="J123" s="52">
        <f t="shared" si="35"/>
        <v>82567</v>
      </c>
      <c r="K123" s="52">
        <f t="shared" si="35"/>
        <v>84697</v>
      </c>
      <c r="L123" s="52">
        <f t="shared" si="35"/>
        <v>86748</v>
      </c>
      <c r="M123" s="52">
        <f t="shared" si="35"/>
        <v>88967</v>
      </c>
      <c r="N123" s="52">
        <f t="shared" si="35"/>
        <v>91875</v>
      </c>
      <c r="O123" s="52">
        <f t="shared" si="35"/>
        <v>95292</v>
      </c>
      <c r="P123" s="52">
        <f t="shared" si="35"/>
        <v>97600</v>
      </c>
      <c r="Q123" s="52">
        <f t="shared" si="35"/>
        <v>97759</v>
      </c>
      <c r="R123" s="52">
        <f t="shared" si="35"/>
        <v>98047</v>
      </c>
      <c r="S123" s="52">
        <f t="shared" si="35"/>
        <v>96993</v>
      </c>
      <c r="T123" s="52">
        <f t="shared" si="35"/>
        <v>95634</v>
      </c>
      <c r="U123" s="52">
        <f t="shared" si="35"/>
        <v>95339</v>
      </c>
      <c r="V123" s="52">
        <f t="shared" si="35"/>
        <v>94739</v>
      </c>
      <c r="W123" s="52">
        <f t="shared" si="35"/>
        <v>92926</v>
      </c>
      <c r="X123" s="52">
        <f t="shared" si="35"/>
        <v>92255</v>
      </c>
      <c r="Y123" s="52">
        <f t="shared" si="35"/>
        <v>91065</v>
      </c>
      <c r="Z123" s="52">
        <f t="shared" si="35"/>
        <v>90696</v>
      </c>
      <c r="AA123" s="52">
        <f t="shared" si="35"/>
        <v>90926</v>
      </c>
      <c r="AB123" s="52">
        <f t="shared" si="35"/>
        <v>90641</v>
      </c>
      <c r="AC123" s="52">
        <f t="shared" si="35"/>
        <v>89986</v>
      </c>
      <c r="AD123" s="52">
        <f t="shared" si="35"/>
        <v>89650</v>
      </c>
      <c r="AE123" s="52">
        <f t="shared" si="35"/>
        <v>89792</v>
      </c>
      <c r="AF123" s="52">
        <f t="shared" si="35"/>
        <v>89962</v>
      </c>
      <c r="AG123" s="52">
        <f t="shared" si="35"/>
        <v>90492</v>
      </c>
      <c r="AH123" s="52">
        <f t="shared" si="35"/>
        <v>92053</v>
      </c>
      <c r="AI123" s="52">
        <f t="shared" si="35"/>
        <v>92791</v>
      </c>
      <c r="AJ123" s="52">
        <f t="shared" si="35"/>
        <v>93659</v>
      </c>
      <c r="AK123" s="52">
        <f t="shared" si="35"/>
        <v>93353</v>
      </c>
      <c r="AL123" s="52">
        <f t="shared" si="35"/>
        <v>93970</v>
      </c>
      <c r="AM123" s="52">
        <f t="shared" si="35"/>
        <v>95639</v>
      </c>
      <c r="AN123" s="52">
        <f t="shared" si="35"/>
        <v>97444</v>
      </c>
      <c r="AO123" s="52">
        <f t="shared" si="35"/>
        <v>99469</v>
      </c>
      <c r="AP123" s="52">
        <f t="shared" si="35"/>
        <v>102509</v>
      </c>
      <c r="AQ123" s="52">
        <f t="shared" si="35"/>
        <v>105294</v>
      </c>
      <c r="AR123" s="52">
        <f t="shared" si="35"/>
        <v>108486</v>
      </c>
      <c r="AS123" s="52">
        <f t="shared" si="35"/>
        <v>112642</v>
      </c>
      <c r="AT123" s="52">
        <f t="shared" si="35"/>
        <v>117805</v>
      </c>
      <c r="AU123" s="52">
        <f t="shared" si="35"/>
        <v>124844</v>
      </c>
      <c r="AV123" s="52">
        <f t="shared" si="35"/>
        <v>130957</v>
      </c>
      <c r="AW123" s="52">
        <f t="shared" si="35"/>
        <v>128321</v>
      </c>
      <c r="AX123" s="52">
        <f t="shared" si="35"/>
        <v>128992</v>
      </c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</row>
    <row r="124" spans="1:95" s="5" customFormat="1" ht="20.100000000000001" customHeight="1" x14ac:dyDescent="0.3">
      <c r="A124" s="54" t="s">
        <v>3</v>
      </c>
      <c r="B124" s="52">
        <f>SUM(B14,B24,B34,B44,B54,B64,B74,B84,B94,B104,B114)</f>
        <v>17349</v>
      </c>
      <c r="C124" s="52">
        <f t="shared" ref="C124:AV124" si="36">SUM(C14,C24,C34,C44,C54,C64,C74,C84,C94,C104,C114)</f>
        <v>19073</v>
      </c>
      <c r="D124" s="52">
        <f t="shared" si="36"/>
        <v>20767</v>
      </c>
      <c r="E124" s="52">
        <f t="shared" si="36"/>
        <v>23214</v>
      </c>
      <c r="F124" s="52">
        <f t="shared" si="36"/>
        <v>24266</v>
      </c>
      <c r="G124" s="52">
        <f t="shared" si="36"/>
        <v>27374</v>
      </c>
      <c r="H124" s="52">
        <f t="shared" si="36"/>
        <v>29097</v>
      </c>
      <c r="I124" s="52">
        <f t="shared" si="36"/>
        <v>30860</v>
      </c>
      <c r="J124" s="52">
        <f t="shared" si="36"/>
        <v>32166</v>
      </c>
      <c r="K124" s="52">
        <f t="shared" si="36"/>
        <v>34215</v>
      </c>
      <c r="L124" s="52">
        <f t="shared" si="36"/>
        <v>35296</v>
      </c>
      <c r="M124" s="52">
        <f t="shared" si="36"/>
        <v>35482</v>
      </c>
      <c r="N124" s="52">
        <f t="shared" si="36"/>
        <v>36270</v>
      </c>
      <c r="O124" s="52">
        <f t="shared" si="36"/>
        <v>36777</v>
      </c>
      <c r="P124" s="52">
        <f t="shared" si="36"/>
        <v>36800</v>
      </c>
      <c r="Q124" s="52">
        <f t="shared" si="36"/>
        <v>37026</v>
      </c>
      <c r="R124" s="52">
        <f t="shared" si="36"/>
        <v>37160</v>
      </c>
      <c r="S124" s="52">
        <f t="shared" si="36"/>
        <v>36685</v>
      </c>
      <c r="T124" s="52">
        <f t="shared" si="36"/>
        <v>36531</v>
      </c>
      <c r="U124" s="52">
        <f t="shared" si="36"/>
        <v>36847</v>
      </c>
      <c r="V124" s="52">
        <f t="shared" si="36"/>
        <v>37315</v>
      </c>
      <c r="W124" s="52">
        <f t="shared" si="36"/>
        <v>37344</v>
      </c>
      <c r="X124" s="52">
        <f t="shared" si="36"/>
        <v>38064</v>
      </c>
      <c r="Y124" s="52">
        <f t="shared" si="36"/>
        <v>38620</v>
      </c>
      <c r="Z124" s="52">
        <f t="shared" si="36"/>
        <v>39539</v>
      </c>
      <c r="AA124" s="52">
        <f t="shared" si="36"/>
        <v>40314</v>
      </c>
      <c r="AB124" s="52">
        <f t="shared" si="36"/>
        <v>41557</v>
      </c>
      <c r="AC124" s="52">
        <f t="shared" si="36"/>
        <v>42677</v>
      </c>
      <c r="AD124" s="52">
        <f t="shared" si="36"/>
        <v>45146</v>
      </c>
      <c r="AE124" s="52">
        <f t="shared" si="36"/>
        <v>46697</v>
      </c>
      <c r="AF124" s="52">
        <f t="shared" si="36"/>
        <v>48792</v>
      </c>
      <c r="AG124" s="52">
        <f t="shared" si="36"/>
        <v>51627</v>
      </c>
      <c r="AH124" s="52">
        <f t="shared" si="36"/>
        <v>53387</v>
      </c>
      <c r="AI124" s="52">
        <f t="shared" si="36"/>
        <v>56317</v>
      </c>
      <c r="AJ124" s="52">
        <f t="shared" si="36"/>
        <v>58874</v>
      </c>
      <c r="AK124" s="52">
        <f t="shared" si="36"/>
        <v>60972</v>
      </c>
      <c r="AL124" s="52">
        <f t="shared" si="36"/>
        <v>64001</v>
      </c>
      <c r="AM124" s="52">
        <f t="shared" si="36"/>
        <v>68009</v>
      </c>
      <c r="AN124" s="52">
        <f t="shared" si="36"/>
        <v>72536</v>
      </c>
      <c r="AO124" s="52">
        <f t="shared" si="36"/>
        <v>78142</v>
      </c>
      <c r="AP124" s="52">
        <f t="shared" si="36"/>
        <v>84284</v>
      </c>
      <c r="AQ124" s="52">
        <f t="shared" si="36"/>
        <v>89408</v>
      </c>
      <c r="AR124" s="52">
        <f t="shared" si="36"/>
        <v>94830</v>
      </c>
      <c r="AS124" s="52">
        <f t="shared" si="36"/>
        <v>101058</v>
      </c>
      <c r="AT124" s="52">
        <f t="shared" si="36"/>
        <v>108688</v>
      </c>
      <c r="AU124" s="52">
        <f t="shared" si="36"/>
        <v>118045</v>
      </c>
      <c r="AV124" s="52">
        <f t="shared" si="36"/>
        <v>127375</v>
      </c>
      <c r="AW124" s="52">
        <f t="shared" si="35"/>
        <v>126501</v>
      </c>
      <c r="AX124" s="52">
        <f t="shared" si="35"/>
        <v>128413</v>
      </c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</row>
    <row r="125" spans="1:95" s="10" customFormat="1" ht="20.100000000000001" customHeight="1" x14ac:dyDescent="0.2">
      <c r="A125" s="51" t="s">
        <v>4</v>
      </c>
      <c r="B125" s="67">
        <f>SUM(B126,B127)</f>
        <v>8269</v>
      </c>
      <c r="C125" s="67">
        <f t="shared" ref="C125:AX125" si="37">SUM(C126,C127)</f>
        <v>9016</v>
      </c>
      <c r="D125" s="67">
        <f t="shared" si="37"/>
        <v>9932</v>
      </c>
      <c r="E125" s="67">
        <f t="shared" si="37"/>
        <v>11236</v>
      </c>
      <c r="F125" s="67">
        <f t="shared" si="37"/>
        <v>11891</v>
      </c>
      <c r="G125" s="67">
        <f t="shared" si="37"/>
        <v>13523</v>
      </c>
      <c r="H125" s="67">
        <f t="shared" si="37"/>
        <v>15056</v>
      </c>
      <c r="I125" s="67">
        <f t="shared" si="37"/>
        <v>16935</v>
      </c>
      <c r="J125" s="67">
        <f t="shared" si="37"/>
        <v>18622</v>
      </c>
      <c r="K125" s="67">
        <f t="shared" si="37"/>
        <v>20400</v>
      </c>
      <c r="L125" s="67">
        <f t="shared" si="37"/>
        <v>21961</v>
      </c>
      <c r="M125" s="67">
        <f t="shared" si="37"/>
        <v>23540</v>
      </c>
      <c r="N125" s="67">
        <f t="shared" si="37"/>
        <v>25092</v>
      </c>
      <c r="O125" s="67">
        <f t="shared" si="37"/>
        <v>26429</v>
      </c>
      <c r="P125" s="67">
        <f t="shared" si="37"/>
        <v>27600</v>
      </c>
      <c r="Q125" s="67">
        <f t="shared" si="37"/>
        <v>28336</v>
      </c>
      <c r="R125" s="67">
        <f t="shared" si="37"/>
        <v>28966</v>
      </c>
      <c r="S125" s="67">
        <f t="shared" si="37"/>
        <v>29272</v>
      </c>
      <c r="T125" s="67">
        <f t="shared" si="37"/>
        <v>29687</v>
      </c>
      <c r="U125" s="67">
        <f t="shared" si="37"/>
        <v>30373</v>
      </c>
      <c r="V125" s="67">
        <f t="shared" si="37"/>
        <v>30052</v>
      </c>
      <c r="W125" s="67">
        <f t="shared" si="37"/>
        <v>31563</v>
      </c>
      <c r="X125" s="67">
        <f t="shared" si="37"/>
        <v>32713</v>
      </c>
      <c r="Y125" s="67">
        <f t="shared" si="37"/>
        <v>33511</v>
      </c>
      <c r="Z125" s="67">
        <f t="shared" si="37"/>
        <v>34545</v>
      </c>
      <c r="AA125" s="67">
        <f t="shared" si="37"/>
        <v>35409</v>
      </c>
      <c r="AB125" s="67">
        <f t="shared" si="37"/>
        <v>36657</v>
      </c>
      <c r="AC125" s="67">
        <f t="shared" si="37"/>
        <v>37524</v>
      </c>
      <c r="AD125" s="67">
        <f t="shared" si="37"/>
        <v>39284</v>
      </c>
      <c r="AE125" s="67">
        <f t="shared" si="37"/>
        <v>40858</v>
      </c>
      <c r="AF125" s="67">
        <f t="shared" si="37"/>
        <v>42353</v>
      </c>
      <c r="AG125" s="67">
        <f t="shared" si="37"/>
        <v>44431</v>
      </c>
      <c r="AH125" s="67">
        <f t="shared" si="37"/>
        <v>46382</v>
      </c>
      <c r="AI125" s="67">
        <f t="shared" si="37"/>
        <v>48430</v>
      </c>
      <c r="AJ125" s="67">
        <f t="shared" si="37"/>
        <v>50511</v>
      </c>
      <c r="AK125" s="67">
        <f t="shared" si="37"/>
        <v>51860</v>
      </c>
      <c r="AL125" s="67">
        <f t="shared" si="37"/>
        <v>53993</v>
      </c>
      <c r="AM125" s="67">
        <f t="shared" si="37"/>
        <v>56207</v>
      </c>
      <c r="AN125" s="67">
        <f t="shared" si="37"/>
        <v>58406</v>
      </c>
      <c r="AO125" s="67">
        <f t="shared" si="37"/>
        <v>60914</v>
      </c>
      <c r="AP125" s="67">
        <f t="shared" si="37"/>
        <v>65185</v>
      </c>
      <c r="AQ125" s="67">
        <f t="shared" si="37"/>
        <v>69618</v>
      </c>
      <c r="AR125" s="67">
        <f t="shared" si="37"/>
        <v>73698</v>
      </c>
      <c r="AS125" s="67">
        <f t="shared" si="37"/>
        <v>78185</v>
      </c>
      <c r="AT125" s="67">
        <f t="shared" si="37"/>
        <v>83931</v>
      </c>
      <c r="AU125" s="67">
        <f t="shared" si="37"/>
        <v>92414</v>
      </c>
      <c r="AV125" s="67">
        <f t="shared" si="37"/>
        <v>98916</v>
      </c>
      <c r="AW125" s="67">
        <f t="shared" si="37"/>
        <v>117500</v>
      </c>
      <c r="AX125" s="67">
        <f t="shared" si="37"/>
        <v>132599</v>
      </c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</row>
    <row r="126" spans="1:95" s="10" customFormat="1" ht="24.95" customHeight="1" x14ac:dyDescent="0.2">
      <c r="A126" s="54" t="s">
        <v>2</v>
      </c>
      <c r="B126" s="52">
        <f>SUM(B16,B26,B36,B46,B56,B66,B76,B86,B96,B106,B116)</f>
        <v>4660</v>
      </c>
      <c r="C126" s="52">
        <f t="shared" ref="C126:AW127" si="38">SUM(C16,C26,C36,C46,C56,C66,C76,C86,C96,C106,C116)</f>
        <v>4983</v>
      </c>
      <c r="D126" s="52">
        <f t="shared" si="38"/>
        <v>5395</v>
      </c>
      <c r="E126" s="52">
        <f t="shared" si="38"/>
        <v>5835</v>
      </c>
      <c r="F126" s="52">
        <f t="shared" si="38"/>
        <v>6170</v>
      </c>
      <c r="G126" s="52">
        <f t="shared" si="38"/>
        <v>6848</v>
      </c>
      <c r="H126" s="52">
        <f t="shared" si="38"/>
        <v>7665</v>
      </c>
      <c r="I126" s="52">
        <f t="shared" si="38"/>
        <v>8682</v>
      </c>
      <c r="J126" s="52">
        <f t="shared" si="38"/>
        <v>9474</v>
      </c>
      <c r="K126" s="52">
        <f t="shared" si="38"/>
        <v>10274</v>
      </c>
      <c r="L126" s="52">
        <f t="shared" si="38"/>
        <v>11191</v>
      </c>
      <c r="M126" s="52">
        <f t="shared" si="38"/>
        <v>12210</v>
      </c>
      <c r="N126" s="52">
        <f t="shared" si="38"/>
        <v>13181</v>
      </c>
      <c r="O126" s="52">
        <f t="shared" si="38"/>
        <v>14077</v>
      </c>
      <c r="P126" s="52">
        <f t="shared" si="38"/>
        <v>14793</v>
      </c>
      <c r="Q126" s="52">
        <f t="shared" si="38"/>
        <v>15127</v>
      </c>
      <c r="R126" s="52">
        <f t="shared" si="38"/>
        <v>15255</v>
      </c>
      <c r="S126" s="52">
        <f t="shared" si="38"/>
        <v>15248</v>
      </c>
      <c r="T126" s="52">
        <f t="shared" si="38"/>
        <v>15280</v>
      </c>
      <c r="U126" s="52">
        <f t="shared" si="38"/>
        <v>15440</v>
      </c>
      <c r="V126" s="52">
        <f t="shared" si="38"/>
        <v>15361</v>
      </c>
      <c r="W126" s="52">
        <f t="shared" si="38"/>
        <v>15231</v>
      </c>
      <c r="X126" s="52">
        <f t="shared" si="38"/>
        <v>15413</v>
      </c>
      <c r="Y126" s="52">
        <f t="shared" si="38"/>
        <v>15446</v>
      </c>
      <c r="Z126" s="52">
        <f t="shared" si="38"/>
        <v>15536</v>
      </c>
      <c r="AA126" s="52">
        <f t="shared" si="38"/>
        <v>15649</v>
      </c>
      <c r="AB126" s="52">
        <f t="shared" si="38"/>
        <v>15748</v>
      </c>
      <c r="AC126" s="52">
        <f t="shared" si="38"/>
        <v>15778</v>
      </c>
      <c r="AD126" s="52">
        <f t="shared" si="38"/>
        <v>16071</v>
      </c>
      <c r="AE126" s="52">
        <f t="shared" si="38"/>
        <v>16384</v>
      </c>
      <c r="AF126" s="52">
        <f t="shared" si="38"/>
        <v>16540</v>
      </c>
      <c r="AG126" s="52">
        <f t="shared" si="38"/>
        <v>16684</v>
      </c>
      <c r="AH126" s="52">
        <f t="shared" si="38"/>
        <v>17045</v>
      </c>
      <c r="AI126" s="52">
        <f t="shared" si="38"/>
        <v>17209</v>
      </c>
      <c r="AJ126" s="52">
        <f t="shared" si="38"/>
        <v>17407</v>
      </c>
      <c r="AK126" s="52">
        <f t="shared" si="38"/>
        <v>17366</v>
      </c>
      <c r="AL126" s="52">
        <f t="shared" si="38"/>
        <v>17526</v>
      </c>
      <c r="AM126" s="52">
        <f t="shared" si="38"/>
        <v>17668</v>
      </c>
      <c r="AN126" s="52">
        <f t="shared" si="38"/>
        <v>17721</v>
      </c>
      <c r="AO126" s="52">
        <f t="shared" si="38"/>
        <v>18017</v>
      </c>
      <c r="AP126" s="52">
        <f t="shared" si="38"/>
        <v>18363</v>
      </c>
      <c r="AQ126" s="52">
        <f t="shared" si="38"/>
        <v>19098</v>
      </c>
      <c r="AR126" s="52">
        <f t="shared" si="38"/>
        <v>19718</v>
      </c>
      <c r="AS126" s="52">
        <f t="shared" si="38"/>
        <v>20395</v>
      </c>
      <c r="AT126" s="52">
        <f t="shared" si="38"/>
        <v>21398</v>
      </c>
      <c r="AU126" s="52">
        <f t="shared" si="38"/>
        <v>22791</v>
      </c>
      <c r="AV126" s="52">
        <f t="shared" si="38"/>
        <v>23916</v>
      </c>
      <c r="AW126" s="52">
        <f t="shared" si="38"/>
        <v>30563</v>
      </c>
      <c r="AX126" s="52">
        <f>SUM(AX16,AX26,AX36,AX46,AX56,AX66,AX76,AX86,AX96,AX106,AX116)</f>
        <v>35638</v>
      </c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</row>
    <row r="127" spans="1:95" s="10" customFormat="1" ht="24.95" customHeight="1" x14ac:dyDescent="0.2">
      <c r="A127" s="54" t="s">
        <v>3</v>
      </c>
      <c r="B127" s="52">
        <f>SUM(B17,B27,B37,B47,B57,B67,B77,B87,B97,B107,B117)</f>
        <v>3609</v>
      </c>
      <c r="C127" s="52">
        <f t="shared" ref="C127:AV127" si="39">SUM(C17,C27,C37,C47,C57,C67,C77,C87,C97,C107,C117)</f>
        <v>4033</v>
      </c>
      <c r="D127" s="52">
        <f t="shared" si="39"/>
        <v>4537</v>
      </c>
      <c r="E127" s="52">
        <f t="shared" si="39"/>
        <v>5401</v>
      </c>
      <c r="F127" s="52">
        <f t="shared" si="39"/>
        <v>5721</v>
      </c>
      <c r="G127" s="52">
        <f t="shared" si="39"/>
        <v>6675</v>
      </c>
      <c r="H127" s="52">
        <f t="shared" si="39"/>
        <v>7391</v>
      </c>
      <c r="I127" s="52">
        <f t="shared" si="39"/>
        <v>8253</v>
      </c>
      <c r="J127" s="52">
        <f t="shared" si="39"/>
        <v>9148</v>
      </c>
      <c r="K127" s="52">
        <f t="shared" si="39"/>
        <v>10126</v>
      </c>
      <c r="L127" s="52">
        <f t="shared" si="39"/>
        <v>10770</v>
      </c>
      <c r="M127" s="52">
        <f t="shared" si="39"/>
        <v>11330</v>
      </c>
      <c r="N127" s="52">
        <f t="shared" si="39"/>
        <v>11911</v>
      </c>
      <c r="O127" s="52">
        <f t="shared" si="39"/>
        <v>12352</v>
      </c>
      <c r="P127" s="52">
        <f t="shared" si="39"/>
        <v>12807</v>
      </c>
      <c r="Q127" s="52">
        <f t="shared" si="39"/>
        <v>13209</v>
      </c>
      <c r="R127" s="52">
        <f t="shared" si="39"/>
        <v>13711</v>
      </c>
      <c r="S127" s="52">
        <f t="shared" si="39"/>
        <v>14024</v>
      </c>
      <c r="T127" s="52">
        <f t="shared" si="39"/>
        <v>14407</v>
      </c>
      <c r="U127" s="52">
        <f t="shared" si="39"/>
        <v>14933</v>
      </c>
      <c r="V127" s="52">
        <f t="shared" si="39"/>
        <v>14691</v>
      </c>
      <c r="W127" s="52">
        <f t="shared" si="39"/>
        <v>16332</v>
      </c>
      <c r="X127" s="52">
        <f t="shared" si="39"/>
        <v>17300</v>
      </c>
      <c r="Y127" s="52">
        <f t="shared" si="39"/>
        <v>18065</v>
      </c>
      <c r="Z127" s="52">
        <f t="shared" si="39"/>
        <v>19009</v>
      </c>
      <c r="AA127" s="52">
        <f t="shared" si="39"/>
        <v>19760</v>
      </c>
      <c r="AB127" s="52">
        <f t="shared" si="39"/>
        <v>20909</v>
      </c>
      <c r="AC127" s="52">
        <f t="shared" si="39"/>
        <v>21746</v>
      </c>
      <c r="AD127" s="52">
        <f t="shared" si="39"/>
        <v>23213</v>
      </c>
      <c r="AE127" s="52">
        <f t="shared" si="39"/>
        <v>24474</v>
      </c>
      <c r="AF127" s="52">
        <f t="shared" si="39"/>
        <v>25813</v>
      </c>
      <c r="AG127" s="52">
        <f t="shared" si="39"/>
        <v>27747</v>
      </c>
      <c r="AH127" s="52">
        <f t="shared" si="39"/>
        <v>29337</v>
      </c>
      <c r="AI127" s="52">
        <f t="shared" si="39"/>
        <v>31221</v>
      </c>
      <c r="AJ127" s="52">
        <f t="shared" si="39"/>
        <v>33104</v>
      </c>
      <c r="AK127" s="52">
        <f t="shared" si="39"/>
        <v>34494</v>
      </c>
      <c r="AL127" s="52">
        <f t="shared" si="39"/>
        <v>36467</v>
      </c>
      <c r="AM127" s="52">
        <f t="shared" si="39"/>
        <v>38539</v>
      </c>
      <c r="AN127" s="52">
        <f t="shared" si="39"/>
        <v>40685</v>
      </c>
      <c r="AO127" s="52">
        <f t="shared" si="39"/>
        <v>42897</v>
      </c>
      <c r="AP127" s="52">
        <f t="shared" si="39"/>
        <v>46822</v>
      </c>
      <c r="AQ127" s="52">
        <f t="shared" si="39"/>
        <v>50520</v>
      </c>
      <c r="AR127" s="52">
        <f t="shared" si="39"/>
        <v>53980</v>
      </c>
      <c r="AS127" s="52">
        <f t="shared" si="39"/>
        <v>57790</v>
      </c>
      <c r="AT127" s="52">
        <f t="shared" si="39"/>
        <v>62533</v>
      </c>
      <c r="AU127" s="52">
        <f t="shared" si="39"/>
        <v>69623</v>
      </c>
      <c r="AV127" s="52">
        <f t="shared" si="39"/>
        <v>75000</v>
      </c>
      <c r="AW127" s="52">
        <f t="shared" si="38"/>
        <v>86937</v>
      </c>
      <c r="AX127" s="52">
        <f>SUM(AX17,AX27,AX37,AX47,AX57,AX67,AX77,AX87,AX97,AX107,AX117)</f>
        <v>96961</v>
      </c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</row>
    <row r="128" spans="1:95" s="10" customFormat="1" ht="24.95" customHeight="1" x14ac:dyDescent="0.2">
      <c r="A128" s="51" t="s">
        <v>5</v>
      </c>
      <c r="B128" s="67">
        <f>SUM(B129,B130)</f>
        <v>41024</v>
      </c>
      <c r="C128" s="67">
        <f t="shared" ref="C128:AW128" si="40">SUM(C129,C130)</f>
        <v>40193</v>
      </c>
      <c r="D128" s="67">
        <f t="shared" si="40"/>
        <v>40792</v>
      </c>
      <c r="E128" s="67">
        <f t="shared" si="40"/>
        <v>36846</v>
      </c>
      <c r="F128" s="67">
        <f t="shared" si="40"/>
        <v>35611</v>
      </c>
      <c r="G128" s="67">
        <f t="shared" si="40"/>
        <v>32671</v>
      </c>
      <c r="H128" s="67">
        <f t="shared" si="40"/>
        <v>28224</v>
      </c>
      <c r="I128" s="67">
        <f t="shared" si="40"/>
        <v>26597</v>
      </c>
      <c r="J128" s="67">
        <f t="shared" si="40"/>
        <v>23062</v>
      </c>
      <c r="K128" s="67">
        <f t="shared" si="40"/>
        <v>21779</v>
      </c>
      <c r="L128" s="67">
        <f t="shared" si="40"/>
        <v>20982</v>
      </c>
      <c r="M128" s="67">
        <f t="shared" si="40"/>
        <v>19394</v>
      </c>
      <c r="N128" s="67">
        <f t="shared" si="40"/>
        <v>18068</v>
      </c>
      <c r="O128" s="67">
        <f t="shared" si="40"/>
        <v>17442</v>
      </c>
      <c r="P128" s="67">
        <f t="shared" si="40"/>
        <v>16723</v>
      </c>
      <c r="Q128" s="67">
        <f t="shared" si="40"/>
        <v>16457</v>
      </c>
      <c r="R128" s="67">
        <f t="shared" si="40"/>
        <v>14833</v>
      </c>
      <c r="S128" s="67">
        <f t="shared" si="40"/>
        <v>13951</v>
      </c>
      <c r="T128" s="67">
        <f t="shared" si="40"/>
        <v>13160</v>
      </c>
      <c r="U128" s="67">
        <f t="shared" si="40"/>
        <v>11639</v>
      </c>
      <c r="V128" s="67">
        <f t="shared" si="40"/>
        <v>13055</v>
      </c>
      <c r="W128" s="67">
        <f t="shared" si="40"/>
        <v>12312</v>
      </c>
      <c r="X128" s="67">
        <f t="shared" si="40"/>
        <v>10928</v>
      </c>
      <c r="Y128" s="67">
        <f t="shared" si="40"/>
        <v>9571</v>
      </c>
      <c r="Z128" s="67">
        <f t="shared" si="40"/>
        <v>8191</v>
      </c>
      <c r="AA128" s="67">
        <f t="shared" si="40"/>
        <v>6681</v>
      </c>
      <c r="AB128" s="67">
        <f t="shared" si="40"/>
        <v>5665</v>
      </c>
      <c r="AC128" s="67">
        <f t="shared" si="40"/>
        <v>4743</v>
      </c>
      <c r="AD128" s="67">
        <f t="shared" si="40"/>
        <v>4118</v>
      </c>
      <c r="AE128" s="67">
        <f t="shared" si="40"/>
        <v>3666</v>
      </c>
      <c r="AF128" s="67">
        <f t="shared" si="40"/>
        <v>2748</v>
      </c>
      <c r="AG128" s="67">
        <f t="shared" si="40"/>
        <v>2182</v>
      </c>
      <c r="AH128" s="67">
        <f t="shared" si="40"/>
        <v>1784</v>
      </c>
      <c r="AI128" s="67">
        <f t="shared" si="40"/>
        <v>1433</v>
      </c>
      <c r="AJ128" s="67">
        <f t="shared" si="40"/>
        <v>1178</v>
      </c>
      <c r="AK128" s="67">
        <f t="shared" si="40"/>
        <v>889</v>
      </c>
      <c r="AL128" s="67">
        <f t="shared" si="40"/>
        <v>749</v>
      </c>
      <c r="AM128" s="67">
        <f t="shared" si="40"/>
        <v>0</v>
      </c>
      <c r="AN128" s="67">
        <f t="shared" si="40"/>
        <v>0</v>
      </c>
      <c r="AO128" s="67">
        <f t="shared" si="40"/>
        <v>0</v>
      </c>
      <c r="AP128" s="67">
        <f t="shared" si="40"/>
        <v>0</v>
      </c>
      <c r="AQ128" s="67">
        <f t="shared" si="40"/>
        <v>0</v>
      </c>
      <c r="AR128" s="67">
        <f t="shared" si="40"/>
        <v>0</v>
      </c>
      <c r="AS128" s="67">
        <f t="shared" si="40"/>
        <v>0</v>
      </c>
      <c r="AT128" s="67">
        <f t="shared" si="40"/>
        <v>0</v>
      </c>
      <c r="AU128" s="67">
        <f t="shared" si="40"/>
        <v>0</v>
      </c>
      <c r="AV128" s="67">
        <f t="shared" si="40"/>
        <v>0</v>
      </c>
      <c r="AW128" s="67">
        <f t="shared" si="40"/>
        <v>0</v>
      </c>
      <c r="AX128" s="67">
        <f>SUM(AX129,AX130)</f>
        <v>0</v>
      </c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</row>
    <row r="129" spans="1:95" s="10" customFormat="1" ht="24.95" customHeight="1" x14ac:dyDescent="0.2">
      <c r="A129" s="54" t="s">
        <v>2</v>
      </c>
      <c r="B129" s="52">
        <f t="shared" ref="B129:B130" si="41">SUM(B19,B29,B39,B49,B59,B69,B79,B89,B99,B109,B119)</f>
        <v>40576</v>
      </c>
      <c r="C129" s="52">
        <f t="shared" ref="C129:AW130" si="42">SUM(C19,C29,C39,C49,C59,C69,C79,C89,C99,C109,C119)</f>
        <v>39794</v>
      </c>
      <c r="D129" s="52">
        <f t="shared" si="42"/>
        <v>40418</v>
      </c>
      <c r="E129" s="52">
        <f t="shared" si="42"/>
        <v>36514</v>
      </c>
      <c r="F129" s="52">
        <f t="shared" si="42"/>
        <v>35309</v>
      </c>
      <c r="G129" s="52">
        <f t="shared" si="42"/>
        <v>32374</v>
      </c>
      <c r="H129" s="52">
        <f t="shared" si="42"/>
        <v>28009</v>
      </c>
      <c r="I129" s="52">
        <f t="shared" si="42"/>
        <v>26334</v>
      </c>
      <c r="J129" s="52">
        <f t="shared" si="42"/>
        <v>22866</v>
      </c>
      <c r="K129" s="52">
        <f t="shared" si="42"/>
        <v>21590</v>
      </c>
      <c r="L129" s="52">
        <f t="shared" si="42"/>
        <v>20795</v>
      </c>
      <c r="M129" s="52">
        <f t="shared" si="42"/>
        <v>19228</v>
      </c>
      <c r="N129" s="52">
        <f t="shared" si="42"/>
        <v>17927</v>
      </c>
      <c r="O129" s="52">
        <f t="shared" si="42"/>
        <v>17317</v>
      </c>
      <c r="P129" s="52">
        <f t="shared" si="42"/>
        <v>16612</v>
      </c>
      <c r="Q129" s="52">
        <f t="shared" si="42"/>
        <v>16349</v>
      </c>
      <c r="R129" s="52">
        <f t="shared" si="42"/>
        <v>14746</v>
      </c>
      <c r="S129" s="52">
        <f t="shared" si="42"/>
        <v>13873</v>
      </c>
      <c r="T129" s="52">
        <f t="shared" si="42"/>
        <v>13090</v>
      </c>
      <c r="U129" s="52">
        <f t="shared" si="42"/>
        <v>11586</v>
      </c>
      <c r="V129" s="52">
        <f t="shared" si="42"/>
        <v>12984</v>
      </c>
      <c r="W129" s="52">
        <f t="shared" si="42"/>
        <v>12226</v>
      </c>
      <c r="X129" s="52">
        <f t="shared" si="42"/>
        <v>10866</v>
      </c>
      <c r="Y129" s="52">
        <f t="shared" si="42"/>
        <v>9520</v>
      </c>
      <c r="Z129" s="52">
        <f t="shared" si="42"/>
        <v>8151</v>
      </c>
      <c r="AA129" s="52">
        <f t="shared" si="42"/>
        <v>6657</v>
      </c>
      <c r="AB129" s="52">
        <f t="shared" si="42"/>
        <v>5643</v>
      </c>
      <c r="AC129" s="52">
        <f t="shared" si="42"/>
        <v>4727</v>
      </c>
      <c r="AD129" s="52">
        <f t="shared" si="42"/>
        <v>4104</v>
      </c>
      <c r="AE129" s="52">
        <f t="shared" si="42"/>
        <v>3655</v>
      </c>
      <c r="AF129" s="52">
        <f t="shared" si="42"/>
        <v>2738</v>
      </c>
      <c r="AG129" s="52">
        <f t="shared" si="42"/>
        <v>2173</v>
      </c>
      <c r="AH129" s="52">
        <f t="shared" si="42"/>
        <v>1776</v>
      </c>
      <c r="AI129" s="52">
        <f t="shared" si="42"/>
        <v>1426</v>
      </c>
      <c r="AJ129" s="52">
        <f t="shared" si="42"/>
        <v>1174</v>
      </c>
      <c r="AK129" s="52">
        <f t="shared" si="42"/>
        <v>883</v>
      </c>
      <c r="AL129" s="52">
        <f t="shared" si="42"/>
        <v>744</v>
      </c>
      <c r="AM129" s="52">
        <f t="shared" si="42"/>
        <v>0</v>
      </c>
      <c r="AN129" s="52">
        <f t="shared" si="42"/>
        <v>0</v>
      </c>
      <c r="AO129" s="52">
        <f t="shared" si="42"/>
        <v>0</v>
      </c>
      <c r="AP129" s="52">
        <f t="shared" si="42"/>
        <v>0</v>
      </c>
      <c r="AQ129" s="52">
        <f t="shared" si="42"/>
        <v>0</v>
      </c>
      <c r="AR129" s="52">
        <f t="shared" si="42"/>
        <v>0</v>
      </c>
      <c r="AS129" s="52">
        <f t="shared" si="42"/>
        <v>0</v>
      </c>
      <c r="AT129" s="52">
        <f t="shared" si="42"/>
        <v>0</v>
      </c>
      <c r="AU129" s="52">
        <f t="shared" si="42"/>
        <v>0</v>
      </c>
      <c r="AV129" s="52">
        <f t="shared" si="42"/>
        <v>0</v>
      </c>
      <c r="AW129" s="52">
        <f t="shared" si="42"/>
        <v>0</v>
      </c>
      <c r="AX129" s="52">
        <f>SUM(AX19,AX29,AX39,AX49,AX59,AX69,AX79,AX89,AX99,AX109,AX119)</f>
        <v>0</v>
      </c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</row>
    <row r="130" spans="1:95" s="7" customFormat="1" ht="24.95" customHeight="1" x14ac:dyDescent="0.2">
      <c r="A130" s="54" t="s">
        <v>3</v>
      </c>
      <c r="B130" s="52">
        <f t="shared" si="41"/>
        <v>448</v>
      </c>
      <c r="C130" s="52">
        <f t="shared" ref="C130:AV130" si="43">SUM(C20,C30,C40,C50,C60,C70,C80,C90,C100,C110,C120)</f>
        <v>399</v>
      </c>
      <c r="D130" s="52">
        <f t="shared" si="43"/>
        <v>374</v>
      </c>
      <c r="E130" s="52">
        <f t="shared" si="43"/>
        <v>332</v>
      </c>
      <c r="F130" s="52">
        <f t="shared" si="43"/>
        <v>302</v>
      </c>
      <c r="G130" s="52">
        <f t="shared" si="43"/>
        <v>297</v>
      </c>
      <c r="H130" s="52">
        <f t="shared" si="43"/>
        <v>215</v>
      </c>
      <c r="I130" s="52">
        <f t="shared" si="43"/>
        <v>263</v>
      </c>
      <c r="J130" s="52">
        <f t="shared" si="43"/>
        <v>196</v>
      </c>
      <c r="K130" s="52">
        <f t="shared" si="43"/>
        <v>189</v>
      </c>
      <c r="L130" s="52">
        <f t="shared" si="43"/>
        <v>187</v>
      </c>
      <c r="M130" s="52">
        <f t="shared" si="43"/>
        <v>166</v>
      </c>
      <c r="N130" s="52">
        <f t="shared" si="43"/>
        <v>141</v>
      </c>
      <c r="O130" s="52">
        <f t="shared" si="43"/>
        <v>125</v>
      </c>
      <c r="P130" s="52">
        <f t="shared" si="43"/>
        <v>111</v>
      </c>
      <c r="Q130" s="52">
        <f t="shared" si="43"/>
        <v>108</v>
      </c>
      <c r="R130" s="52">
        <f t="shared" si="43"/>
        <v>87</v>
      </c>
      <c r="S130" s="52">
        <f t="shared" si="43"/>
        <v>78</v>
      </c>
      <c r="T130" s="52">
        <f t="shared" si="43"/>
        <v>70</v>
      </c>
      <c r="U130" s="52">
        <f t="shared" si="43"/>
        <v>53</v>
      </c>
      <c r="V130" s="52">
        <f t="shared" si="43"/>
        <v>71</v>
      </c>
      <c r="W130" s="52">
        <f t="shared" si="43"/>
        <v>86</v>
      </c>
      <c r="X130" s="52">
        <f t="shared" si="43"/>
        <v>62</v>
      </c>
      <c r="Y130" s="52">
        <f t="shared" si="43"/>
        <v>51</v>
      </c>
      <c r="Z130" s="52">
        <f t="shared" si="43"/>
        <v>40</v>
      </c>
      <c r="AA130" s="52">
        <f t="shared" si="43"/>
        <v>24</v>
      </c>
      <c r="AB130" s="52">
        <f t="shared" si="43"/>
        <v>22</v>
      </c>
      <c r="AC130" s="52">
        <f t="shared" si="43"/>
        <v>16</v>
      </c>
      <c r="AD130" s="52">
        <f t="shared" si="43"/>
        <v>14</v>
      </c>
      <c r="AE130" s="52">
        <f t="shared" si="43"/>
        <v>11</v>
      </c>
      <c r="AF130" s="52">
        <f t="shared" si="43"/>
        <v>10</v>
      </c>
      <c r="AG130" s="52">
        <f t="shared" si="43"/>
        <v>9</v>
      </c>
      <c r="AH130" s="52">
        <f t="shared" si="43"/>
        <v>8</v>
      </c>
      <c r="AI130" s="52">
        <f t="shared" si="43"/>
        <v>7</v>
      </c>
      <c r="AJ130" s="52">
        <f t="shared" si="43"/>
        <v>4</v>
      </c>
      <c r="AK130" s="52">
        <f t="shared" si="43"/>
        <v>6</v>
      </c>
      <c r="AL130" s="52">
        <f t="shared" si="43"/>
        <v>5</v>
      </c>
      <c r="AM130" s="52">
        <f t="shared" si="43"/>
        <v>0</v>
      </c>
      <c r="AN130" s="52">
        <f t="shared" si="43"/>
        <v>0</v>
      </c>
      <c r="AO130" s="52">
        <f t="shared" si="43"/>
        <v>0</v>
      </c>
      <c r="AP130" s="52">
        <f t="shared" si="43"/>
        <v>0</v>
      </c>
      <c r="AQ130" s="52">
        <f t="shared" si="43"/>
        <v>0</v>
      </c>
      <c r="AR130" s="52">
        <f t="shared" si="43"/>
        <v>0</v>
      </c>
      <c r="AS130" s="52">
        <f t="shared" si="43"/>
        <v>0</v>
      </c>
      <c r="AT130" s="52">
        <f t="shared" si="43"/>
        <v>0</v>
      </c>
      <c r="AU130" s="52">
        <f t="shared" si="43"/>
        <v>0</v>
      </c>
      <c r="AV130" s="52">
        <f t="shared" si="43"/>
        <v>0</v>
      </c>
      <c r="AW130" s="52">
        <f t="shared" si="42"/>
        <v>0</v>
      </c>
      <c r="AX130" s="52">
        <f>SUM(AX20,AX30,AX40,AX50,AX60,AX70,AX80,AX90,AX100,AX110,AX120)</f>
        <v>0</v>
      </c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</row>
    <row r="131" spans="1:95" s="7" customFormat="1" ht="30" customHeight="1" x14ac:dyDescent="0.3">
      <c r="A131" s="75" t="s">
        <v>66</v>
      </c>
      <c r="B131" s="30"/>
      <c r="C131" s="25"/>
      <c r="D131" s="29"/>
      <c r="E131" s="29"/>
      <c r="F131" s="23"/>
      <c r="G131" s="23"/>
      <c r="H131" s="23"/>
      <c r="I131" s="23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</row>
    <row r="132" spans="1:95" s="9" customFormat="1" ht="20.100000000000001" customHeight="1" x14ac:dyDescent="0.3">
      <c r="A132" s="12"/>
      <c r="B132" s="32"/>
      <c r="C132" s="31"/>
      <c r="E132" s="29"/>
      <c r="F132" s="23"/>
      <c r="G132" s="23"/>
      <c r="H132" s="23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</row>
    <row r="133" spans="1:95" s="6" customFormat="1" ht="24" customHeight="1" x14ac:dyDescent="0.2">
      <c r="A133" s="22"/>
      <c r="B133" s="32"/>
      <c r="C133" s="25"/>
      <c r="E133" s="29"/>
      <c r="F133" s="23"/>
      <c r="G133" s="23"/>
      <c r="H133" s="23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</row>
    <row r="134" spans="1:95" ht="35.1" customHeight="1" x14ac:dyDescent="0.25">
      <c r="A134" s="1"/>
      <c r="B134" s="32"/>
      <c r="C134" s="35"/>
      <c r="D134" s="29"/>
      <c r="E134" s="29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</row>
    <row r="135" spans="1:95" ht="60" customHeight="1" x14ac:dyDescent="0.25">
      <c r="A135" s="21"/>
      <c r="B135" s="32"/>
      <c r="C135" s="38"/>
      <c r="D135" s="29"/>
      <c r="E135" s="39"/>
      <c r="F135" s="35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</row>
    <row r="136" spans="1:95" s="10" customFormat="1" ht="24.95" customHeight="1" x14ac:dyDescent="0.2">
      <c r="A136" s="11"/>
      <c r="B136" s="32"/>
      <c r="C136" s="23"/>
      <c r="D136" s="29"/>
      <c r="E136" s="39"/>
      <c r="F136" s="23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</row>
    <row r="137" spans="1:95" s="7" customFormat="1" ht="24.95" customHeight="1" x14ac:dyDescent="0.2">
      <c r="A137" s="3"/>
      <c r="B137" s="40"/>
      <c r="C137" s="25"/>
      <c r="D137" s="29"/>
      <c r="E137" s="39"/>
      <c r="F137" s="23"/>
      <c r="G137" s="24"/>
      <c r="H137" s="24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</row>
    <row r="138" spans="1:95" s="7" customFormat="1" ht="30" customHeight="1" x14ac:dyDescent="0.2">
      <c r="A138" s="22"/>
      <c r="B138" s="30"/>
      <c r="C138" s="25"/>
      <c r="D138" s="29"/>
      <c r="E138" s="39"/>
      <c r="F138" s="23"/>
      <c r="G138" s="24"/>
      <c r="H138" s="24"/>
      <c r="I138" s="24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</row>
    <row r="139" spans="1:95" s="9" customFormat="1" ht="20.100000000000001" customHeight="1" x14ac:dyDescent="0.3">
      <c r="A139" s="12"/>
      <c r="B139" s="32"/>
      <c r="C139" s="31"/>
      <c r="D139" s="29"/>
      <c r="E139" s="39"/>
      <c r="F139" s="23"/>
      <c r="G139" s="24"/>
      <c r="H139" s="24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</row>
    <row r="140" spans="1:95" s="6" customFormat="1" ht="35.1" customHeight="1" x14ac:dyDescent="0.2">
      <c r="A140" s="22"/>
      <c r="B140" s="32"/>
      <c r="C140" s="25"/>
      <c r="D140" s="29"/>
      <c r="E140" s="39"/>
      <c r="F140" s="23"/>
      <c r="G140" s="24"/>
      <c r="H140" s="2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</row>
    <row r="141" spans="1:95" s="6" customFormat="1" ht="20.100000000000001" customHeight="1" x14ac:dyDescent="0.2">
      <c r="A141" s="8"/>
      <c r="B141" s="40"/>
      <c r="C141" s="27"/>
      <c r="D141" s="29"/>
      <c r="E141" s="39"/>
      <c r="F141" s="36"/>
      <c r="G141" s="41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</row>
    <row r="142" spans="1:95" s="5" customFormat="1" ht="20.100000000000001" customHeight="1" x14ac:dyDescent="0.3">
      <c r="A142" s="4"/>
      <c r="B142" s="30"/>
      <c r="C142" s="42"/>
      <c r="D142" s="29"/>
      <c r="E142" s="39"/>
      <c r="F142" s="36"/>
      <c r="G142" s="41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  <c r="CF142" s="28"/>
      <c r="CG142" s="28"/>
      <c r="CH142" s="28"/>
      <c r="CI142" s="28"/>
      <c r="CJ142" s="28"/>
      <c r="CK142" s="28"/>
      <c r="CL142" s="28"/>
      <c r="CM142" s="28"/>
      <c r="CN142" s="28"/>
      <c r="CO142" s="28"/>
      <c r="CP142" s="28"/>
      <c r="CQ142" s="28"/>
    </row>
    <row r="143" spans="1:95" s="5" customFormat="1" ht="20.100000000000001" customHeight="1" x14ac:dyDescent="0.3">
      <c r="A143" s="4"/>
      <c r="B143" s="32"/>
      <c r="C143" s="42"/>
      <c r="D143" s="29"/>
      <c r="E143" s="39"/>
      <c r="F143" s="36"/>
      <c r="G143" s="41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</row>
    <row r="144" spans="1:95" ht="20.100000000000001" customHeight="1" x14ac:dyDescent="0.25">
      <c r="A144" s="1"/>
      <c r="B144" s="32"/>
      <c r="C144" s="35"/>
      <c r="D144" s="29"/>
      <c r="E144" s="39"/>
      <c r="F144" s="36"/>
      <c r="G144" s="41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</row>
    <row r="145" spans="1:95" ht="20.100000000000001" customHeight="1" x14ac:dyDescent="0.25">
      <c r="A145" s="1"/>
      <c r="B145" s="40"/>
      <c r="C145" s="35"/>
      <c r="D145" s="29"/>
      <c r="E145" s="39"/>
      <c r="F145" s="36"/>
      <c r="G145" s="41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</row>
    <row r="146" spans="1:95" ht="20.100000000000001" customHeight="1" x14ac:dyDescent="0.25">
      <c r="A146" s="1"/>
      <c r="B146" s="30"/>
      <c r="C146" s="35"/>
      <c r="D146" s="29"/>
      <c r="E146" s="39"/>
      <c r="F146" s="36"/>
      <c r="G146" s="41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</row>
    <row r="147" spans="1:95" ht="20.100000000000001" customHeight="1" x14ac:dyDescent="0.25">
      <c r="A147" s="1"/>
      <c r="B147" s="32"/>
      <c r="C147" s="35"/>
      <c r="D147" s="29"/>
      <c r="E147" s="39"/>
      <c r="F147" s="36"/>
      <c r="G147" s="41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</row>
    <row r="148" spans="1:95" ht="20.100000000000001" customHeight="1" x14ac:dyDescent="0.25">
      <c r="A148" s="1"/>
      <c r="B148" s="40"/>
      <c r="C148" s="35"/>
      <c r="D148" s="29"/>
      <c r="E148" s="39"/>
      <c r="F148" s="36"/>
      <c r="G148" s="41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</row>
    <row r="149" spans="1:95" ht="20.100000000000001" customHeight="1" x14ac:dyDescent="0.25">
      <c r="A149" s="1"/>
      <c r="B149" s="35"/>
      <c r="C149" s="35"/>
      <c r="D149" s="29"/>
      <c r="E149" s="39"/>
      <c r="F149" s="36"/>
      <c r="G149" s="41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</row>
    <row r="150" spans="1:95" ht="20.100000000000001" customHeight="1" x14ac:dyDescent="0.25">
      <c r="A150" s="1"/>
      <c r="B150" s="35"/>
      <c r="C150" s="35"/>
      <c r="D150" s="29"/>
      <c r="E150" s="39"/>
      <c r="F150" s="36"/>
      <c r="G150" s="41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</row>
    <row r="151" spans="1:95" ht="20.100000000000001" customHeight="1" x14ac:dyDescent="0.25">
      <c r="A151" s="1"/>
      <c r="B151" s="35"/>
      <c r="C151" s="35"/>
      <c r="D151" s="29"/>
      <c r="E151" s="39"/>
      <c r="F151" s="36"/>
      <c r="G151" s="41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</row>
    <row r="152" spans="1:95" ht="20.100000000000001" customHeight="1" x14ac:dyDescent="0.25">
      <c r="A152" s="1"/>
      <c r="B152" s="35"/>
      <c r="C152" s="35"/>
      <c r="D152" s="29"/>
      <c r="E152" s="39"/>
      <c r="F152" s="36"/>
      <c r="G152" s="41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</row>
    <row r="153" spans="1:95" ht="20.100000000000001" customHeight="1" x14ac:dyDescent="0.25">
      <c r="A153" s="1"/>
      <c r="B153" s="35"/>
      <c r="C153" s="35"/>
      <c r="D153" s="29"/>
      <c r="E153" s="39"/>
      <c r="F153" s="36"/>
      <c r="G153" s="41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</row>
    <row r="154" spans="1:95" ht="20.100000000000001" customHeight="1" x14ac:dyDescent="0.25">
      <c r="A154" s="1"/>
      <c r="B154" s="35"/>
      <c r="C154" s="35"/>
      <c r="D154" s="29"/>
      <c r="E154" s="39"/>
      <c r="F154" s="36"/>
      <c r="G154" s="41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</row>
    <row r="155" spans="1:95" ht="20.100000000000001" customHeight="1" x14ac:dyDescent="0.25">
      <c r="A155" s="1"/>
      <c r="B155" s="35"/>
      <c r="C155" s="35"/>
      <c r="D155" s="29"/>
      <c r="E155" s="39"/>
      <c r="F155" s="36"/>
      <c r="G155" s="41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</row>
    <row r="156" spans="1:95" ht="20.100000000000001" customHeight="1" x14ac:dyDescent="0.25">
      <c r="A156" s="1"/>
      <c r="B156" s="35"/>
      <c r="C156" s="35"/>
      <c r="D156" s="29"/>
      <c r="E156" s="39"/>
      <c r="F156" s="36"/>
      <c r="G156" s="41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</row>
    <row r="157" spans="1:95" ht="20.100000000000001" customHeight="1" x14ac:dyDescent="0.25">
      <c r="A157" s="1"/>
      <c r="B157" s="35"/>
      <c r="C157" s="35"/>
      <c r="D157" s="29"/>
      <c r="E157" s="39"/>
      <c r="F157" s="36"/>
      <c r="G157" s="41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</row>
    <row r="158" spans="1:95" ht="20.100000000000001" customHeight="1" x14ac:dyDescent="0.25">
      <c r="A158" s="1"/>
      <c r="B158" s="35"/>
      <c r="C158" s="35"/>
      <c r="D158" s="29"/>
      <c r="E158" s="39"/>
      <c r="F158" s="36"/>
      <c r="G158" s="41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</row>
    <row r="159" spans="1:95" ht="20.100000000000001" customHeight="1" x14ac:dyDescent="0.25">
      <c r="A159" s="1"/>
      <c r="B159" s="35"/>
      <c r="C159" s="35"/>
      <c r="D159" s="29"/>
      <c r="E159" s="39"/>
      <c r="F159" s="36"/>
      <c r="G159" s="41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</row>
    <row r="160" spans="1:95" ht="20.100000000000001" customHeight="1" x14ac:dyDescent="0.25">
      <c r="A160" s="1"/>
      <c r="B160" s="35"/>
      <c r="C160" s="35"/>
      <c r="D160" s="29"/>
      <c r="E160" s="39"/>
      <c r="F160" s="36"/>
      <c r="G160" s="41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</row>
    <row r="161" spans="1:95" ht="20.100000000000001" customHeight="1" x14ac:dyDescent="0.25">
      <c r="A161" s="1"/>
      <c r="B161" s="35"/>
      <c r="C161" s="35"/>
      <c r="D161" s="35"/>
      <c r="E161" s="35"/>
      <c r="F161" s="36"/>
      <c r="G161" s="41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</row>
    <row r="162" spans="1:95" ht="20.100000000000001" customHeight="1" x14ac:dyDescent="0.25">
      <c r="A162" s="1"/>
      <c r="B162" s="35"/>
      <c r="C162" s="35"/>
      <c r="D162" s="35"/>
      <c r="E162" s="35"/>
      <c r="F162" s="36"/>
      <c r="G162" s="41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</row>
    <row r="163" spans="1:95" ht="20.100000000000001" customHeight="1" x14ac:dyDescent="0.25">
      <c r="B163" s="37"/>
      <c r="C163" s="37"/>
      <c r="D163" s="37"/>
      <c r="E163" s="35"/>
      <c r="F163" s="36"/>
      <c r="G163" s="41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</row>
    <row r="164" spans="1:95" ht="20.100000000000001" customHeight="1" x14ac:dyDescent="0.25">
      <c r="B164" s="37"/>
      <c r="C164" s="37"/>
      <c r="D164" s="37"/>
      <c r="E164" s="35"/>
      <c r="F164" s="36"/>
      <c r="G164" s="41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</row>
    <row r="165" spans="1:95" ht="20.100000000000001" customHeight="1" x14ac:dyDescent="0.25">
      <c r="B165" s="37"/>
      <c r="C165" s="37"/>
      <c r="D165" s="37"/>
      <c r="E165" s="35"/>
      <c r="F165" s="36"/>
      <c r="G165" s="41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</row>
    <row r="166" spans="1:95" ht="20.100000000000001" customHeight="1" x14ac:dyDescent="0.25">
      <c r="B166" s="37"/>
      <c r="C166" s="37"/>
      <c r="D166" s="37"/>
      <c r="E166" s="35"/>
      <c r="F166" s="36"/>
      <c r="G166" s="41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</row>
    <row r="167" spans="1:95" ht="20.100000000000001" customHeight="1" x14ac:dyDescent="0.25">
      <c r="B167" s="37"/>
      <c r="C167" s="37"/>
      <c r="D167" s="37"/>
      <c r="E167" s="35"/>
      <c r="F167" s="36"/>
      <c r="G167" s="41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</row>
    <row r="168" spans="1:95" ht="20.100000000000001" customHeight="1" x14ac:dyDescent="0.25">
      <c r="B168" s="37"/>
      <c r="C168" s="37"/>
      <c r="D168" s="37"/>
      <c r="E168" s="35"/>
      <c r="F168" s="36"/>
      <c r="G168" s="41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</row>
    <row r="169" spans="1:95" ht="20.100000000000001" customHeight="1" x14ac:dyDescent="0.25">
      <c r="B169" s="37"/>
      <c r="C169" s="37"/>
      <c r="D169" s="37"/>
      <c r="E169" s="35"/>
      <c r="F169" s="36"/>
      <c r="G169" s="41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</row>
    <row r="170" spans="1:95" ht="20.100000000000001" customHeight="1" x14ac:dyDescent="0.25">
      <c r="B170" s="37"/>
      <c r="C170" s="37"/>
      <c r="D170" s="37"/>
      <c r="E170" s="35"/>
      <c r="F170" s="36"/>
      <c r="G170" s="41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</row>
    <row r="171" spans="1:95" ht="20.100000000000001" customHeight="1" x14ac:dyDescent="0.25">
      <c r="B171" s="37"/>
      <c r="C171" s="37"/>
      <c r="D171" s="37"/>
      <c r="E171" s="35"/>
      <c r="F171" s="36"/>
      <c r="G171" s="41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</row>
    <row r="172" spans="1:95" ht="20.100000000000001" customHeight="1" x14ac:dyDescent="0.25">
      <c r="B172" s="37"/>
      <c r="C172" s="37"/>
      <c r="D172" s="37"/>
      <c r="E172" s="35"/>
      <c r="F172" s="36"/>
      <c r="G172" s="41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</row>
    <row r="173" spans="1:95" ht="20.100000000000001" customHeight="1" x14ac:dyDescent="0.25">
      <c r="B173" s="37"/>
      <c r="C173" s="37"/>
      <c r="D173" s="37"/>
      <c r="E173" s="35"/>
      <c r="F173" s="36"/>
      <c r="G173" s="41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</row>
    <row r="174" spans="1:95" ht="20.100000000000001" customHeight="1" x14ac:dyDescent="0.25">
      <c r="B174" s="37"/>
      <c r="C174" s="37"/>
      <c r="D174" s="37"/>
      <c r="E174" s="35"/>
      <c r="F174" s="36"/>
      <c r="G174" s="41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</row>
    <row r="175" spans="1:95" ht="20.100000000000001" customHeight="1" x14ac:dyDescent="0.25">
      <c r="B175" s="37"/>
      <c r="C175" s="37"/>
      <c r="D175" s="37"/>
      <c r="E175" s="35"/>
      <c r="F175" s="36"/>
      <c r="G175" s="41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</row>
    <row r="176" spans="1:95" ht="20.100000000000001" customHeight="1" x14ac:dyDescent="0.25">
      <c r="B176" s="37"/>
      <c r="C176" s="37"/>
      <c r="D176" s="37"/>
      <c r="E176" s="35"/>
      <c r="F176" s="36"/>
      <c r="G176" s="41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</row>
    <row r="177" spans="2:95" ht="20.100000000000001" customHeight="1" x14ac:dyDescent="0.25">
      <c r="B177" s="37"/>
      <c r="C177" s="37"/>
      <c r="D177" s="37"/>
      <c r="E177" s="35"/>
      <c r="F177" s="36"/>
      <c r="G177" s="41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</row>
    <row r="178" spans="2:95" ht="20.100000000000001" customHeight="1" x14ac:dyDescent="0.25">
      <c r="B178" s="37"/>
      <c r="C178" s="37"/>
      <c r="D178" s="37"/>
      <c r="E178" s="35"/>
      <c r="F178" s="36"/>
      <c r="G178" s="41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</row>
    <row r="179" spans="2:95" ht="20.100000000000001" customHeight="1" x14ac:dyDescent="0.25">
      <c r="B179" s="37"/>
      <c r="C179" s="37"/>
      <c r="D179" s="37"/>
      <c r="E179" s="35"/>
      <c r="F179" s="36"/>
      <c r="G179" s="41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</row>
    <row r="180" spans="2:95" ht="20.100000000000001" customHeight="1" x14ac:dyDescent="0.25">
      <c r="B180" s="37"/>
      <c r="C180" s="37"/>
      <c r="D180" s="37"/>
      <c r="E180" s="35"/>
      <c r="F180" s="36"/>
      <c r="G180" s="41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</row>
    <row r="181" spans="2:95" ht="20.100000000000001" customHeight="1" x14ac:dyDescent="0.25">
      <c r="B181" s="37"/>
      <c r="C181" s="37"/>
      <c r="D181" s="37"/>
      <c r="E181" s="35"/>
      <c r="F181" s="36"/>
      <c r="G181" s="41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</row>
    <row r="182" spans="2:95" ht="20.100000000000001" customHeight="1" x14ac:dyDescent="0.25">
      <c r="B182" s="37"/>
      <c r="C182" s="37"/>
      <c r="D182" s="37"/>
      <c r="E182" s="35"/>
      <c r="F182" s="36"/>
      <c r="G182" s="41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</row>
    <row r="183" spans="2:95" ht="20.100000000000001" customHeight="1" x14ac:dyDescent="0.25">
      <c r="B183" s="37"/>
      <c r="C183" s="37"/>
      <c r="D183" s="37"/>
      <c r="E183" s="35"/>
      <c r="F183" s="36"/>
      <c r="G183" s="41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</row>
    <row r="184" spans="2:95" ht="20.100000000000001" customHeight="1" x14ac:dyDescent="0.25">
      <c r="B184" s="37"/>
      <c r="C184" s="37"/>
      <c r="D184" s="37"/>
      <c r="E184" s="35"/>
      <c r="F184" s="36"/>
      <c r="G184" s="41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</row>
    <row r="185" spans="2:95" ht="20.100000000000001" customHeight="1" x14ac:dyDescent="0.25">
      <c r="B185" s="37"/>
      <c r="C185" s="37"/>
      <c r="D185" s="37"/>
      <c r="E185" s="35"/>
      <c r="F185" s="36"/>
      <c r="G185" s="41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</row>
    <row r="186" spans="2:95" ht="20.100000000000001" customHeight="1" x14ac:dyDescent="0.25">
      <c r="B186" s="37"/>
      <c r="C186" s="37"/>
      <c r="D186" s="37"/>
      <c r="E186" s="35"/>
      <c r="F186" s="36"/>
      <c r="G186" s="41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</row>
    <row r="187" spans="2:95" ht="20.100000000000001" customHeight="1" x14ac:dyDescent="0.25">
      <c r="B187" s="37"/>
      <c r="C187" s="37"/>
      <c r="D187" s="37"/>
      <c r="E187" s="35"/>
      <c r="F187" s="36"/>
      <c r="G187" s="41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</row>
    <row r="188" spans="2:95" ht="20.100000000000001" customHeight="1" x14ac:dyDescent="0.25">
      <c r="B188" s="37"/>
      <c r="C188" s="37"/>
      <c r="D188" s="37"/>
      <c r="E188" s="35"/>
      <c r="F188" s="36"/>
      <c r="G188" s="41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</row>
    <row r="189" spans="2:95" ht="20.100000000000001" customHeight="1" x14ac:dyDescent="0.25">
      <c r="B189" s="37"/>
      <c r="C189" s="37"/>
      <c r="D189" s="37"/>
      <c r="E189" s="35"/>
      <c r="F189" s="36"/>
      <c r="G189" s="41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</row>
    <row r="190" spans="2:95" ht="20.100000000000001" customHeight="1" x14ac:dyDescent="0.25">
      <c r="B190" s="37"/>
      <c r="C190" s="37"/>
      <c r="D190" s="37"/>
      <c r="E190" s="35"/>
      <c r="F190" s="36"/>
      <c r="G190" s="41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</row>
    <row r="191" spans="2:95" ht="20.100000000000001" customHeight="1" x14ac:dyDescent="0.25">
      <c r="B191" s="37"/>
      <c r="C191" s="37"/>
      <c r="D191" s="37"/>
      <c r="E191" s="35"/>
      <c r="F191" s="36"/>
      <c r="G191" s="41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</row>
    <row r="192" spans="2:95" ht="20.100000000000001" customHeight="1" x14ac:dyDescent="0.25">
      <c r="B192" s="37"/>
      <c r="C192" s="37"/>
      <c r="D192" s="37"/>
      <c r="E192" s="35"/>
      <c r="F192" s="36"/>
      <c r="G192" s="41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</row>
    <row r="193" spans="2:95" ht="20.100000000000001" customHeight="1" x14ac:dyDescent="0.25">
      <c r="B193" s="37"/>
      <c r="C193" s="37"/>
      <c r="D193" s="37"/>
      <c r="E193" s="35"/>
      <c r="F193" s="36"/>
      <c r="G193" s="41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</row>
    <row r="194" spans="2:95" ht="20.100000000000001" customHeight="1" x14ac:dyDescent="0.25">
      <c r="B194" s="37"/>
      <c r="C194" s="37"/>
      <c r="D194" s="37"/>
      <c r="E194" s="35"/>
      <c r="F194" s="36"/>
      <c r="G194" s="41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</row>
    <row r="195" spans="2:95" ht="20.100000000000001" customHeight="1" x14ac:dyDescent="0.25">
      <c r="B195" s="37"/>
      <c r="C195" s="37"/>
      <c r="D195" s="37"/>
      <c r="E195" s="35"/>
      <c r="F195" s="36"/>
      <c r="G195" s="41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</row>
    <row r="196" spans="2:95" ht="20.100000000000001" customHeight="1" x14ac:dyDescent="0.25">
      <c r="B196" s="37"/>
      <c r="C196" s="37"/>
      <c r="D196" s="37"/>
      <c r="E196" s="35"/>
      <c r="F196" s="36"/>
      <c r="G196" s="41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</row>
    <row r="197" spans="2:95" ht="20.100000000000001" customHeight="1" x14ac:dyDescent="0.25">
      <c r="B197" s="37"/>
      <c r="C197" s="37"/>
      <c r="D197" s="37"/>
      <c r="E197" s="35"/>
      <c r="F197" s="36"/>
      <c r="G197" s="41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</row>
    <row r="198" spans="2:95" ht="20.100000000000001" customHeight="1" x14ac:dyDescent="0.25">
      <c r="B198" s="37"/>
      <c r="C198" s="37"/>
      <c r="D198" s="37"/>
      <c r="E198" s="35"/>
      <c r="F198" s="36"/>
      <c r="G198" s="41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</row>
    <row r="199" spans="2:95" ht="20.100000000000001" customHeight="1" x14ac:dyDescent="0.25">
      <c r="B199" s="37"/>
      <c r="C199" s="37"/>
      <c r="D199" s="37"/>
      <c r="E199" s="35"/>
      <c r="F199" s="36"/>
      <c r="G199" s="41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</row>
    <row r="200" spans="2:95" ht="20.100000000000001" customHeight="1" x14ac:dyDescent="0.25">
      <c r="B200" s="37"/>
      <c r="C200" s="37"/>
      <c r="D200" s="37"/>
      <c r="E200" s="35"/>
      <c r="F200" s="36"/>
      <c r="G200" s="41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</row>
    <row r="201" spans="2:95" ht="20.100000000000001" customHeight="1" x14ac:dyDescent="0.25">
      <c r="B201" s="37"/>
      <c r="C201" s="37"/>
      <c r="D201" s="37"/>
      <c r="E201" s="35"/>
      <c r="F201" s="36"/>
      <c r="G201" s="41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</row>
    <row r="202" spans="2:95" ht="20.100000000000001" customHeight="1" x14ac:dyDescent="0.25">
      <c r="B202" s="37"/>
      <c r="C202" s="37"/>
      <c r="D202" s="37"/>
      <c r="E202" s="35"/>
      <c r="F202" s="36"/>
      <c r="G202" s="41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</row>
    <row r="203" spans="2:95" ht="20.100000000000001" customHeight="1" x14ac:dyDescent="0.25">
      <c r="B203" s="37"/>
      <c r="C203" s="37"/>
      <c r="D203" s="37"/>
      <c r="E203" s="35"/>
      <c r="F203" s="36"/>
      <c r="G203" s="41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</row>
    <row r="204" spans="2:95" ht="20.100000000000001" customHeight="1" x14ac:dyDescent="0.25">
      <c r="B204" s="37"/>
      <c r="C204" s="37"/>
      <c r="D204" s="37"/>
      <c r="E204" s="35"/>
      <c r="F204" s="36"/>
      <c r="G204" s="41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</row>
    <row r="205" spans="2:95" ht="20.100000000000001" customHeight="1" x14ac:dyDescent="0.25">
      <c r="B205" s="37"/>
      <c r="C205" s="37"/>
      <c r="D205" s="37"/>
      <c r="E205" s="35"/>
      <c r="F205" s="36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</row>
    <row r="206" spans="2:95" ht="20.100000000000001" customHeight="1" x14ac:dyDescent="0.25">
      <c r="B206" s="37"/>
      <c r="C206" s="37"/>
      <c r="D206" s="37"/>
      <c r="E206" s="35"/>
      <c r="F206" s="36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</row>
    <row r="207" spans="2:95" ht="20.100000000000001" customHeight="1" x14ac:dyDescent="0.25">
      <c r="B207" s="37"/>
      <c r="C207" s="37"/>
      <c r="D207" s="37"/>
      <c r="E207" s="35"/>
      <c r="F207" s="36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</row>
    <row r="208" spans="2:95" ht="20.100000000000001" customHeight="1" x14ac:dyDescent="0.25">
      <c r="B208" s="37"/>
      <c r="C208" s="37"/>
      <c r="D208" s="37"/>
      <c r="E208" s="35"/>
      <c r="F208" s="36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</row>
    <row r="209" spans="2:95" ht="20.100000000000001" customHeight="1" x14ac:dyDescent="0.25">
      <c r="B209" s="37"/>
      <c r="C209" s="37"/>
      <c r="D209" s="37"/>
      <c r="E209" s="35"/>
      <c r="F209" s="36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</row>
    <row r="210" spans="2:95" ht="20.100000000000001" customHeight="1" x14ac:dyDescent="0.25">
      <c r="B210" s="37"/>
      <c r="C210" s="37"/>
      <c r="D210" s="37"/>
      <c r="E210" s="35"/>
      <c r="F210" s="36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</row>
    <row r="211" spans="2:95" ht="20.100000000000001" customHeight="1" x14ac:dyDescent="0.25">
      <c r="B211" s="37"/>
      <c r="C211" s="37"/>
      <c r="D211" s="37"/>
      <c r="E211" s="35"/>
      <c r="F211" s="35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</row>
    <row r="212" spans="2:95" ht="20.100000000000001" customHeight="1" x14ac:dyDescent="0.25">
      <c r="B212" s="37"/>
      <c r="C212" s="37"/>
      <c r="D212" s="37"/>
      <c r="E212" s="35"/>
      <c r="F212" s="35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</row>
    <row r="213" spans="2:95" ht="20.100000000000001" customHeight="1" x14ac:dyDescent="0.25">
      <c r="B213" s="37"/>
      <c r="C213" s="37"/>
      <c r="D213" s="37"/>
      <c r="E213" s="35"/>
      <c r="F213" s="35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</row>
    <row r="214" spans="2:95" ht="20.100000000000001" customHeight="1" x14ac:dyDescent="0.25">
      <c r="B214" s="37"/>
      <c r="C214" s="37"/>
      <c r="D214" s="37"/>
      <c r="E214" s="35"/>
      <c r="F214" s="35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</row>
    <row r="215" spans="2:95" ht="20.100000000000001" customHeight="1" x14ac:dyDescent="0.25">
      <c r="B215" s="37"/>
      <c r="C215" s="37"/>
      <c r="D215" s="37"/>
      <c r="E215" s="35"/>
      <c r="F215" s="35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</row>
    <row r="216" spans="2:95" ht="20.100000000000001" customHeight="1" x14ac:dyDescent="0.25">
      <c r="B216" s="37"/>
      <c r="C216" s="37"/>
      <c r="D216" s="37"/>
      <c r="E216" s="35"/>
      <c r="F216" s="35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</row>
    <row r="217" spans="2:95" ht="20.100000000000001" customHeight="1" x14ac:dyDescent="0.25">
      <c r="B217" s="37"/>
      <c r="C217" s="37"/>
      <c r="D217" s="37"/>
      <c r="E217" s="35"/>
      <c r="F217" s="35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</row>
    <row r="218" spans="2:95" ht="20.100000000000001" customHeight="1" x14ac:dyDescent="0.25">
      <c r="B218" s="37"/>
      <c r="C218" s="37"/>
      <c r="D218" s="37"/>
      <c r="E218" s="35"/>
      <c r="F218" s="35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</row>
    <row r="219" spans="2:95" ht="20.100000000000001" customHeight="1" x14ac:dyDescent="0.25">
      <c r="B219" s="37"/>
      <c r="C219" s="37"/>
      <c r="D219" s="37"/>
      <c r="E219" s="35"/>
      <c r="F219" s="35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</row>
    <row r="220" spans="2:95" ht="20.100000000000001" customHeight="1" x14ac:dyDescent="0.25">
      <c r="B220" s="37"/>
      <c r="C220" s="37"/>
      <c r="D220" s="37"/>
      <c r="E220" s="35"/>
      <c r="F220" s="35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</row>
    <row r="221" spans="2:95" ht="20.100000000000001" customHeight="1" x14ac:dyDescent="0.25">
      <c r="B221" s="37"/>
      <c r="C221" s="37"/>
      <c r="D221" s="37"/>
      <c r="E221" s="35"/>
      <c r="F221" s="35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</row>
    <row r="222" spans="2:95" ht="20.100000000000001" customHeight="1" x14ac:dyDescent="0.25">
      <c r="B222" s="37"/>
      <c r="C222" s="37"/>
      <c r="D222" s="37"/>
      <c r="E222" s="35"/>
      <c r="F222" s="35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</row>
    <row r="223" spans="2:95" ht="20.100000000000001" customHeight="1" x14ac:dyDescent="0.25">
      <c r="B223" s="37"/>
      <c r="C223" s="37"/>
      <c r="D223" s="37"/>
      <c r="E223" s="35"/>
      <c r="F223" s="35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</row>
    <row r="224" spans="2:95" ht="20.100000000000001" customHeight="1" x14ac:dyDescent="0.25">
      <c r="B224" s="37"/>
      <c r="C224" s="37"/>
      <c r="D224" s="37"/>
      <c r="E224" s="35"/>
      <c r="F224" s="35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</row>
    <row r="225" spans="2:95" ht="20.100000000000001" customHeight="1" x14ac:dyDescent="0.25">
      <c r="B225" s="37"/>
      <c r="C225" s="37"/>
      <c r="D225" s="37"/>
      <c r="E225" s="35"/>
      <c r="F225" s="35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</row>
    <row r="226" spans="2:95" ht="20.100000000000001" customHeight="1" x14ac:dyDescent="0.25">
      <c r="B226" s="37"/>
      <c r="C226" s="37"/>
      <c r="D226" s="37"/>
      <c r="E226" s="35"/>
      <c r="F226" s="35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</row>
    <row r="227" spans="2:95" ht="20.100000000000001" customHeight="1" x14ac:dyDescent="0.25">
      <c r="B227" s="37"/>
      <c r="C227" s="37"/>
      <c r="D227" s="37"/>
      <c r="E227" s="35"/>
      <c r="F227" s="35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</row>
    <row r="228" spans="2:95" ht="20.100000000000001" customHeight="1" x14ac:dyDescent="0.25">
      <c r="B228" s="37"/>
      <c r="C228" s="37"/>
      <c r="D228" s="37"/>
      <c r="E228" s="35"/>
      <c r="F228" s="35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</row>
    <row r="229" spans="2:95" ht="20.100000000000001" customHeight="1" x14ac:dyDescent="0.25">
      <c r="B229" s="37"/>
      <c r="C229" s="37"/>
      <c r="D229" s="37"/>
      <c r="E229" s="35"/>
      <c r="F229" s="35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</row>
    <row r="230" spans="2:95" ht="20.100000000000001" customHeight="1" x14ac:dyDescent="0.25">
      <c r="B230" s="37"/>
      <c r="C230" s="37"/>
      <c r="D230" s="37"/>
      <c r="E230" s="35"/>
      <c r="F230" s="35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</row>
    <row r="231" spans="2:95" ht="20.100000000000001" customHeight="1" x14ac:dyDescent="0.25">
      <c r="B231" s="37"/>
      <c r="C231" s="37"/>
      <c r="D231" s="37"/>
      <c r="E231" s="35"/>
      <c r="F231" s="35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</row>
    <row r="232" spans="2:95" ht="20.100000000000001" customHeight="1" x14ac:dyDescent="0.25">
      <c r="B232" s="37"/>
      <c r="C232" s="37"/>
      <c r="D232" s="37"/>
      <c r="E232" s="35"/>
      <c r="F232" s="35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</row>
    <row r="233" spans="2:95" ht="20.100000000000001" customHeight="1" x14ac:dyDescent="0.25">
      <c r="B233" s="37"/>
      <c r="C233" s="37"/>
      <c r="D233" s="37"/>
      <c r="E233" s="35"/>
      <c r="F233" s="35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</row>
    <row r="234" spans="2:95" ht="20.100000000000001" customHeight="1" x14ac:dyDescent="0.25">
      <c r="B234" s="37"/>
      <c r="C234" s="37"/>
      <c r="D234" s="37"/>
      <c r="E234" s="35"/>
      <c r="F234" s="35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</row>
    <row r="235" spans="2:95" ht="20.100000000000001" customHeight="1" x14ac:dyDescent="0.25">
      <c r="B235" s="37"/>
      <c r="C235" s="37"/>
      <c r="D235" s="37"/>
      <c r="E235" s="35"/>
      <c r="F235" s="35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</row>
    <row r="236" spans="2:95" ht="20.100000000000001" customHeight="1" x14ac:dyDescent="0.25">
      <c r="B236" s="37"/>
      <c r="C236" s="37"/>
      <c r="D236" s="37"/>
      <c r="E236" s="35"/>
      <c r="F236" s="35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</row>
    <row r="237" spans="2:95" ht="20.100000000000001" customHeight="1" x14ac:dyDescent="0.25">
      <c r="B237" s="37"/>
      <c r="C237" s="37"/>
      <c r="D237" s="37"/>
      <c r="E237" s="35"/>
      <c r="F237" s="35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</row>
    <row r="238" spans="2:95" ht="20.100000000000001" customHeight="1" x14ac:dyDescent="0.25">
      <c r="B238" s="37"/>
      <c r="C238" s="37"/>
      <c r="D238" s="37"/>
      <c r="E238" s="35"/>
      <c r="F238" s="35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</row>
    <row r="239" spans="2:95" ht="20.100000000000001" customHeight="1" x14ac:dyDescent="0.25">
      <c r="B239" s="37"/>
      <c r="C239" s="37"/>
      <c r="D239" s="37"/>
      <c r="E239" s="35"/>
      <c r="F239" s="35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</row>
    <row r="240" spans="2:95" ht="20.100000000000001" customHeight="1" x14ac:dyDescent="0.25">
      <c r="B240" s="37"/>
      <c r="C240" s="37"/>
      <c r="D240" s="37"/>
      <c r="E240" s="35"/>
      <c r="F240" s="35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</row>
    <row r="241" spans="2:95" ht="20.100000000000001" customHeight="1" x14ac:dyDescent="0.25">
      <c r="B241" s="37"/>
      <c r="C241" s="37"/>
      <c r="D241" s="37"/>
      <c r="E241" s="35"/>
      <c r="F241" s="35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</row>
    <row r="242" spans="2:95" ht="20.100000000000001" customHeight="1" x14ac:dyDescent="0.25">
      <c r="B242" s="37"/>
      <c r="C242" s="37"/>
      <c r="D242" s="37"/>
      <c r="E242" s="35"/>
      <c r="F242" s="35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</row>
    <row r="243" spans="2:95" ht="20.100000000000001" customHeight="1" x14ac:dyDescent="0.25">
      <c r="B243" s="37"/>
      <c r="C243" s="37"/>
      <c r="D243" s="37"/>
      <c r="E243" s="35"/>
      <c r="F243" s="35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</row>
    <row r="244" spans="2:95" ht="20.100000000000001" customHeight="1" x14ac:dyDescent="0.25">
      <c r="B244" s="37"/>
      <c r="C244" s="37"/>
      <c r="D244" s="37"/>
      <c r="E244" s="35"/>
      <c r="F244" s="35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</row>
    <row r="245" spans="2:95" ht="20.100000000000001" customHeight="1" x14ac:dyDescent="0.25">
      <c r="B245" s="37"/>
      <c r="C245" s="37"/>
      <c r="D245" s="37"/>
      <c r="E245" s="35"/>
      <c r="F245" s="35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</row>
    <row r="246" spans="2:95" ht="20.100000000000001" customHeight="1" x14ac:dyDescent="0.25">
      <c r="B246" s="37"/>
      <c r="C246" s="37"/>
      <c r="D246" s="37"/>
      <c r="E246" s="35"/>
      <c r="F246" s="35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</row>
    <row r="247" spans="2:95" ht="20.100000000000001" customHeight="1" x14ac:dyDescent="0.25">
      <c r="B247" s="37"/>
      <c r="C247" s="37"/>
      <c r="D247" s="37"/>
      <c r="E247" s="35"/>
      <c r="F247" s="35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</row>
    <row r="248" spans="2:95" ht="20.100000000000001" customHeight="1" x14ac:dyDescent="0.25">
      <c r="B248" s="37"/>
      <c r="C248" s="37"/>
      <c r="D248" s="37"/>
      <c r="E248" s="35"/>
      <c r="F248" s="35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</row>
    <row r="249" spans="2:95" ht="20.100000000000001" customHeight="1" x14ac:dyDescent="0.25">
      <c r="B249" s="37"/>
      <c r="C249" s="37"/>
      <c r="D249" s="37"/>
      <c r="E249" s="35"/>
      <c r="F249" s="35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</row>
    <row r="250" spans="2:95" ht="20.100000000000001" customHeight="1" x14ac:dyDescent="0.25">
      <c r="B250" s="37"/>
      <c r="C250" s="37"/>
      <c r="D250" s="37"/>
      <c r="E250" s="35"/>
      <c r="F250" s="35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</row>
    <row r="251" spans="2:95" ht="20.100000000000001" customHeight="1" x14ac:dyDescent="0.25">
      <c r="B251" s="37"/>
      <c r="C251" s="37"/>
      <c r="D251" s="37"/>
      <c r="E251" s="35"/>
      <c r="F251" s="35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</row>
    <row r="252" spans="2:95" ht="20.100000000000001" customHeight="1" x14ac:dyDescent="0.25">
      <c r="B252" s="37"/>
      <c r="C252" s="37"/>
      <c r="D252" s="37"/>
      <c r="E252" s="35"/>
      <c r="F252" s="35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</row>
    <row r="253" spans="2:95" ht="20.100000000000001" customHeight="1" x14ac:dyDescent="0.25">
      <c r="B253" s="37"/>
      <c r="C253" s="37"/>
      <c r="D253" s="37"/>
      <c r="E253" s="35"/>
      <c r="F253" s="35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</row>
    <row r="254" spans="2:95" ht="20.100000000000001" customHeight="1" x14ac:dyDescent="0.25">
      <c r="B254" s="37"/>
      <c r="C254" s="37"/>
      <c r="D254" s="37"/>
      <c r="E254" s="35"/>
      <c r="F254" s="35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</row>
    <row r="255" spans="2:95" ht="20.100000000000001" customHeight="1" x14ac:dyDescent="0.25">
      <c r="B255" s="37"/>
      <c r="C255" s="37"/>
      <c r="D255" s="37"/>
      <c r="E255" s="35"/>
      <c r="F255" s="35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</row>
    <row r="256" spans="2:95" ht="20.100000000000001" customHeight="1" x14ac:dyDescent="0.25">
      <c r="B256" s="37"/>
      <c r="C256" s="37"/>
      <c r="D256" s="37"/>
      <c r="E256" s="35"/>
      <c r="F256" s="35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</row>
    <row r="257" spans="2:95" ht="20.100000000000001" customHeight="1" x14ac:dyDescent="0.25">
      <c r="B257" s="37"/>
      <c r="C257" s="37"/>
      <c r="D257" s="37"/>
      <c r="E257" s="35"/>
      <c r="F257" s="35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</row>
    <row r="258" spans="2:95" ht="20.100000000000001" customHeight="1" x14ac:dyDescent="0.25">
      <c r="B258" s="37"/>
      <c r="C258" s="37"/>
      <c r="D258" s="37"/>
      <c r="E258" s="35"/>
      <c r="F258" s="35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</row>
    <row r="259" spans="2:95" ht="20.100000000000001" customHeight="1" x14ac:dyDescent="0.25">
      <c r="B259" s="37"/>
      <c r="C259" s="37"/>
      <c r="D259" s="37"/>
      <c r="E259" s="35"/>
      <c r="F259" s="35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</row>
    <row r="260" spans="2:95" ht="20.100000000000001" customHeight="1" x14ac:dyDescent="0.25">
      <c r="B260" s="37"/>
      <c r="C260" s="37"/>
      <c r="D260" s="37"/>
      <c r="E260" s="35"/>
      <c r="F260" s="35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</row>
    <row r="261" spans="2:95" ht="20.100000000000001" customHeight="1" x14ac:dyDescent="0.25">
      <c r="B261" s="37"/>
      <c r="C261" s="37"/>
      <c r="D261" s="37"/>
      <c r="E261" s="35"/>
      <c r="F261" s="35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</row>
    <row r="262" spans="2:95" ht="20.100000000000001" customHeight="1" x14ac:dyDescent="0.25">
      <c r="B262" s="37"/>
      <c r="C262" s="37"/>
      <c r="D262" s="37"/>
      <c r="E262" s="35"/>
      <c r="F262" s="35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</row>
    <row r="263" spans="2:95" ht="20.100000000000001" customHeight="1" x14ac:dyDescent="0.25">
      <c r="B263" s="37"/>
      <c r="C263" s="37"/>
      <c r="D263" s="37"/>
      <c r="E263" s="35"/>
      <c r="F263" s="35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</row>
    <row r="264" spans="2:95" ht="20.100000000000001" customHeight="1" x14ac:dyDescent="0.25">
      <c r="B264" s="37"/>
      <c r="C264" s="37"/>
      <c r="D264" s="37"/>
      <c r="E264" s="35"/>
      <c r="F264" s="35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</row>
    <row r="265" spans="2:95" ht="20.100000000000001" customHeight="1" x14ac:dyDescent="0.25">
      <c r="B265" s="37"/>
      <c r="C265" s="37"/>
      <c r="D265" s="37"/>
      <c r="E265" s="35"/>
      <c r="F265" s="35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</row>
    <row r="266" spans="2:95" ht="20.100000000000001" customHeight="1" x14ac:dyDescent="0.25">
      <c r="B266" s="37"/>
      <c r="C266" s="37"/>
      <c r="D266" s="37"/>
      <c r="E266" s="35"/>
      <c r="F266" s="35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</row>
    <row r="267" spans="2:95" ht="20.100000000000001" customHeight="1" x14ac:dyDescent="0.25">
      <c r="B267" s="37"/>
      <c r="C267" s="37"/>
      <c r="D267" s="37"/>
      <c r="E267" s="35"/>
      <c r="F267" s="35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</row>
    <row r="268" spans="2:95" ht="20.100000000000001" customHeight="1" x14ac:dyDescent="0.25">
      <c r="B268" s="37"/>
      <c r="C268" s="37"/>
      <c r="D268" s="37"/>
      <c r="E268" s="35"/>
      <c r="F268" s="35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</row>
    <row r="269" spans="2:95" ht="20.100000000000001" customHeight="1" x14ac:dyDescent="0.25">
      <c r="B269" s="37"/>
      <c r="C269" s="37"/>
      <c r="D269" s="37"/>
      <c r="E269" s="35"/>
      <c r="F269" s="35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</row>
    <row r="270" spans="2:95" ht="20.100000000000001" customHeight="1" x14ac:dyDescent="0.25">
      <c r="B270" s="37"/>
      <c r="C270" s="37"/>
      <c r="D270" s="37"/>
      <c r="E270" s="35"/>
      <c r="F270" s="35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</row>
    <row r="271" spans="2:95" ht="20.100000000000001" customHeight="1" x14ac:dyDescent="0.25">
      <c r="B271" s="37"/>
      <c r="C271" s="37"/>
      <c r="D271" s="37"/>
      <c r="E271" s="35"/>
      <c r="F271" s="35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</row>
    <row r="272" spans="2:95" ht="20.100000000000001" customHeight="1" x14ac:dyDescent="0.25">
      <c r="B272" s="37"/>
      <c r="C272" s="37"/>
      <c r="D272" s="37"/>
      <c r="E272" s="35"/>
      <c r="F272" s="35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</row>
    <row r="273" spans="2:95" ht="20.100000000000001" customHeight="1" x14ac:dyDescent="0.25">
      <c r="B273" s="37"/>
      <c r="C273" s="37"/>
      <c r="D273" s="37"/>
      <c r="E273" s="35"/>
      <c r="F273" s="35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</row>
    <row r="274" spans="2:95" ht="20.100000000000001" customHeight="1" x14ac:dyDescent="0.25">
      <c r="B274" s="37"/>
      <c r="C274" s="37"/>
      <c r="D274" s="37"/>
      <c r="E274" s="35"/>
      <c r="F274" s="35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</row>
    <row r="275" spans="2:95" ht="20.100000000000001" customHeight="1" x14ac:dyDescent="0.25">
      <c r="B275" s="37"/>
      <c r="C275" s="37"/>
      <c r="D275" s="37"/>
      <c r="E275" s="35"/>
      <c r="F275" s="35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</row>
    <row r="276" spans="2:95" ht="20.100000000000001" customHeight="1" x14ac:dyDescent="0.25">
      <c r="B276" s="37"/>
      <c r="C276" s="37"/>
      <c r="D276" s="37"/>
      <c r="E276" s="35"/>
      <c r="F276" s="35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</row>
    <row r="277" spans="2:95" x14ac:dyDescent="0.25">
      <c r="B277" s="37"/>
      <c r="C277" s="37"/>
      <c r="D277" s="37"/>
      <c r="E277" s="35"/>
      <c r="F277" s="35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</row>
    <row r="278" spans="2:95" x14ac:dyDescent="0.25">
      <c r="B278" s="37"/>
      <c r="C278" s="37"/>
      <c r="D278" s="37"/>
      <c r="E278" s="35"/>
      <c r="F278" s="35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</row>
    <row r="279" spans="2:95" x14ac:dyDescent="0.25">
      <c r="B279" s="37"/>
      <c r="C279" s="37"/>
      <c r="D279" s="37"/>
      <c r="E279" s="35"/>
      <c r="F279" s="35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</row>
    <row r="280" spans="2:95" x14ac:dyDescent="0.25">
      <c r="B280" s="37"/>
      <c r="C280" s="37"/>
      <c r="D280" s="37"/>
      <c r="E280" s="35"/>
      <c r="F280" s="35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</row>
    <row r="281" spans="2:95" x14ac:dyDescent="0.25">
      <c r="B281" s="37"/>
      <c r="C281" s="37"/>
      <c r="D281" s="37"/>
      <c r="E281" s="35"/>
      <c r="F281" s="35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</row>
    <row r="282" spans="2:95" x14ac:dyDescent="0.25">
      <c r="B282" s="37"/>
      <c r="C282" s="37"/>
      <c r="D282" s="37"/>
      <c r="E282" s="35"/>
      <c r="F282" s="35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</row>
    <row r="283" spans="2:95" x14ac:dyDescent="0.25">
      <c r="B283" s="37"/>
      <c r="C283" s="37"/>
      <c r="D283" s="37"/>
      <c r="E283" s="35"/>
      <c r="F283" s="35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</row>
    <row r="284" spans="2:95" x14ac:dyDescent="0.25">
      <c r="B284" s="37"/>
      <c r="C284" s="37"/>
      <c r="D284" s="37"/>
      <c r="E284" s="35"/>
      <c r="F284" s="35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</row>
    <row r="285" spans="2:95" x14ac:dyDescent="0.25">
      <c r="B285" s="37"/>
      <c r="C285" s="37"/>
      <c r="D285" s="37"/>
      <c r="E285" s="35"/>
      <c r="F285" s="35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</row>
    <row r="286" spans="2:95" x14ac:dyDescent="0.25">
      <c r="B286" s="37"/>
      <c r="C286" s="37"/>
      <c r="D286" s="37"/>
      <c r="E286" s="35"/>
      <c r="F286" s="35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</row>
    <row r="287" spans="2:95" x14ac:dyDescent="0.25">
      <c r="B287" s="37"/>
      <c r="C287" s="37"/>
      <c r="D287" s="37"/>
      <c r="E287" s="35"/>
      <c r="F287" s="35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</row>
    <row r="288" spans="2:95" x14ac:dyDescent="0.25">
      <c r="B288" s="37"/>
      <c r="C288" s="37"/>
      <c r="D288" s="37"/>
      <c r="E288" s="35"/>
      <c r="F288" s="35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</row>
    <row r="289" spans="2:95" x14ac:dyDescent="0.25">
      <c r="B289" s="37"/>
      <c r="C289" s="37"/>
      <c r="D289" s="37"/>
      <c r="E289" s="35"/>
      <c r="F289" s="35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</row>
    <row r="290" spans="2:95" x14ac:dyDescent="0.25">
      <c r="B290" s="37"/>
      <c r="C290" s="37"/>
      <c r="D290" s="37"/>
      <c r="E290" s="35"/>
      <c r="F290" s="35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</row>
    <row r="291" spans="2:95" x14ac:dyDescent="0.25">
      <c r="B291" s="37"/>
      <c r="C291" s="37"/>
      <c r="D291" s="37"/>
      <c r="E291" s="35"/>
      <c r="F291" s="35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</row>
  </sheetData>
  <customSheetViews>
    <customSheetView guid="{213E50C8-D915-47E6-8FE2-DC92B3E1A45E}" showGridLines="0" printArea="1" hiddenRows="1" hiddenColumns="1" topLeftCell="B1">
      <selection activeCell="B1" sqref="B1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CD760E4D-1A52-4878-B3BC-344C3C3F7DF0}" showGridLines="0" printArea="1" hiddenRows="1" hiddenColumns="1" topLeftCell="A7">
      <selection activeCell="A20" sqref="A20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  <customProperties>
    <customPr name="SheetOptions" r:id="rId4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II-A-7</vt:lpstr>
      <vt:lpstr>'II-A-7'!Afdrukbereik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2020-06-15T07:51:28Z</dcterms:created>
  <dcterms:modified xsi:type="dcterms:W3CDTF">2020-06-22T17:23:50Z</dcterms:modified>
</cp:coreProperties>
</file>