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B573CE1C-485F-4206-AE40-605D41D06DCC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B-30" sheetId="41" r:id="rId1"/>
  </sheets>
  <definedNames>
    <definedName name="EssfHasNonUnique">FALSE</definedName>
    <definedName name="Z_470324F5_0B14_4B25_B6A9_A7D3D8BAB193_.wvu.Cols" localSheetId="0" hidden="1">'II-B-30'!#REF!</definedName>
    <definedName name="Z_470324F5_0B14_4B25_B6A9_A7D3D8BAB193_.wvu.Rows" localSheetId="0" hidden="1">'II-B-30'!#REF!</definedName>
    <definedName name="Z_81FF5524_B6A5_4A69_B95B_761CD16C4020_.wvu.Cols" localSheetId="0" hidden="1">'II-B-30'!$A:$A</definedName>
    <definedName name="Z_81FF5524_B6A5_4A69_B95B_761CD16C4020_.wvu.Rows" localSheetId="0" hidden="1">'II-B-30'!#REF!</definedName>
  </definedNames>
  <calcPr calcId="191029"/>
  <customWorkbookViews>
    <customWorkbookView name="NL" guid="{470324F5-0B14-4B25-B6A9-A7D3D8BAB193}" maximized="1" xWindow="-9" yWindow="-9" windowWidth="1938" windowHeight="1048" activeSheetId="41"/>
    <customWorkbookView name="FR" guid="{81FF5524-B6A5-4A69-B95B-761CD16C4020}" maximized="1" xWindow="-9" yWindow="-9" windowWidth="1938" windowHeight="1048" activeSheetId="4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1" l="1"/>
  <c r="J18" i="41"/>
  <c r="J17" i="41"/>
  <c r="J16" i="41"/>
  <c r="J15" i="41"/>
  <c r="K19" i="41"/>
  <c r="K18" i="41"/>
  <c r="K17" i="41"/>
  <c r="K16" i="41"/>
  <c r="K15" i="41"/>
  <c r="S19" i="41" l="1"/>
  <c r="S18" i="41"/>
  <c r="S17" i="41"/>
  <c r="S16" i="41"/>
  <c r="S15" i="41"/>
  <c r="W19" i="41" l="1"/>
  <c r="W18" i="41"/>
  <c r="W17" i="41"/>
  <c r="W16" i="41"/>
  <c r="W15" i="41"/>
  <c r="V19" i="41"/>
  <c r="V18" i="41"/>
  <c r="V17" i="41"/>
  <c r="V16" i="41"/>
  <c r="V15" i="41"/>
  <c r="F19" i="41"/>
  <c r="F18" i="41"/>
  <c r="F17" i="41"/>
  <c r="F16" i="41"/>
  <c r="F15" i="41"/>
  <c r="AL19" i="41"/>
  <c r="AL18" i="41"/>
  <c r="AL17" i="41"/>
  <c r="AL16" i="41"/>
  <c r="AL15" i="41"/>
  <c r="AK19" i="41"/>
  <c r="AK18" i="41"/>
  <c r="AK17" i="41"/>
  <c r="AK16" i="41"/>
  <c r="AK15" i="41"/>
  <c r="AJ19" i="41"/>
  <c r="AJ18" i="41"/>
  <c r="AJ17" i="41"/>
  <c r="AJ16" i="41"/>
  <c r="AJ15" i="41"/>
  <c r="X19" i="41"/>
  <c r="X18" i="41"/>
  <c r="X17" i="41"/>
  <c r="X16" i="41"/>
  <c r="X15" i="41"/>
  <c r="U19" i="41"/>
  <c r="U18" i="41"/>
  <c r="U17" i="41"/>
  <c r="U16" i="41"/>
  <c r="U15" i="41"/>
  <c r="P19" i="41"/>
  <c r="P18" i="41"/>
  <c r="P17" i="41"/>
  <c r="P16" i="41"/>
  <c r="P15" i="41"/>
  <c r="M19" i="41"/>
  <c r="M18" i="41"/>
  <c r="M17" i="41"/>
  <c r="M16" i="41"/>
  <c r="M15" i="41"/>
  <c r="L19" i="41"/>
  <c r="L18" i="41"/>
  <c r="L17" i="41"/>
  <c r="L16" i="41"/>
  <c r="L15" i="41"/>
  <c r="I19" i="41"/>
  <c r="I18" i="41"/>
  <c r="I17" i="41"/>
  <c r="I16" i="41"/>
  <c r="I15" i="41"/>
  <c r="H19" i="41"/>
  <c r="H18" i="41"/>
  <c r="H17" i="41"/>
  <c r="H16" i="41"/>
  <c r="H15" i="41"/>
  <c r="G19" i="41"/>
  <c r="G18" i="41"/>
  <c r="G17" i="41"/>
  <c r="G16" i="41"/>
  <c r="G15" i="41"/>
  <c r="N19" i="41" l="1"/>
  <c r="N18" i="41"/>
  <c r="N17" i="41"/>
  <c r="N16" i="41"/>
  <c r="N15" i="41"/>
</calcChain>
</file>

<file path=xl/sharedStrings.xml><?xml version="1.0" encoding="utf-8"?>
<sst xmlns="http://schemas.openxmlformats.org/spreadsheetml/2006/main" count="90" uniqueCount="78">
  <si>
    <t xml:space="preserve">Perimeter: Sociale zekerheid </t>
  </si>
  <si>
    <t>1/02/1982</t>
  </si>
  <si>
    <t>1/05/1982</t>
  </si>
  <si>
    <t>1/08/1982</t>
  </si>
  <si>
    <t>1/10/1982</t>
  </si>
  <si>
    <t>1/04/1983</t>
  </si>
  <si>
    <t>1/09/1983</t>
  </si>
  <si>
    <t>1/01/1984</t>
  </si>
  <si>
    <t>1/05/1984</t>
  </si>
  <si>
    <t>1/12/1982</t>
  </si>
  <si>
    <t xml:space="preserve">1/08/1984 </t>
  </si>
  <si>
    <t xml:space="preserve">1/01/1985 </t>
  </si>
  <si>
    <t xml:space="preserve">1/06/1985 </t>
  </si>
  <si>
    <t xml:space="preserve">1/10/1985 </t>
  </si>
  <si>
    <t xml:space="preserve">1/06/1987 </t>
  </si>
  <si>
    <t xml:space="preserve">1/11/1988 </t>
  </si>
  <si>
    <t xml:space="preserve">1/08/1989 </t>
  </si>
  <si>
    <t xml:space="preserve">1/02/1990 </t>
  </si>
  <si>
    <t xml:space="preserve">1/11/1990 </t>
  </si>
  <si>
    <t xml:space="preserve">1/03/1991 </t>
  </si>
  <si>
    <t xml:space="preserve">1/12/1991 </t>
  </si>
  <si>
    <t xml:space="preserve">1/11/1992 </t>
  </si>
  <si>
    <t xml:space="preserve">1/07/1993 </t>
  </si>
  <si>
    <t xml:space="preserve">1/05/1996 </t>
  </si>
  <si>
    <t xml:space="preserve">1/10/1997 </t>
  </si>
  <si>
    <t xml:space="preserve">1/06/1999 </t>
  </si>
  <si>
    <t xml:space="preserve">1/09/2000 </t>
  </si>
  <si>
    <t xml:space="preserve">1/06/2001 </t>
  </si>
  <si>
    <t xml:space="preserve">1/02/2002 </t>
  </si>
  <si>
    <t xml:space="preserve">1/06/2003 </t>
  </si>
  <si>
    <t>1/10/2004</t>
  </si>
  <si>
    <t>1/12/1994</t>
  </si>
  <si>
    <t xml:space="preserve">1/08/2005 </t>
  </si>
  <si>
    <t xml:space="preserve">1/10/2006 </t>
  </si>
  <si>
    <t xml:space="preserve">1/09/2007 </t>
  </si>
  <si>
    <t xml:space="preserve">1/01/2008 </t>
  </si>
  <si>
    <t xml:space="preserve">1/05/2008 </t>
  </si>
  <si>
    <t xml:space="preserve">1/09/2008 </t>
  </si>
  <si>
    <t>1/09/2009</t>
  </si>
  <si>
    <t>1/09/2010</t>
  </si>
  <si>
    <t xml:space="preserve">1/05/2011 </t>
  </si>
  <si>
    <t xml:space="preserve">1/02/2012 </t>
  </si>
  <si>
    <t xml:space="preserve">1/09/2012 </t>
  </si>
  <si>
    <t xml:space="preserve">1/12/2012 </t>
  </si>
  <si>
    <t>1/09/2013</t>
  </si>
  <si>
    <t xml:space="preserve">1/09/2015 </t>
  </si>
  <si>
    <t>1/06/2016</t>
  </si>
  <si>
    <t xml:space="preserve">Eenheden:  EUR </t>
  </si>
  <si>
    <t xml:space="preserve">    Invaliden </t>
  </si>
  <si>
    <t xml:space="preserve">     10 tot 35% </t>
  </si>
  <si>
    <t xml:space="preserve">      36 tot 65% </t>
  </si>
  <si>
    <t xml:space="preserve">     Hulp van derde </t>
  </si>
  <si>
    <t/>
  </si>
  <si>
    <t xml:space="preserve">     1 tot 9 % </t>
  </si>
  <si>
    <t xml:space="preserve">      66% en meer </t>
  </si>
  <si>
    <t>Titel: Barema's voor de arbeidsongevallenverzekering</t>
  </si>
  <si>
    <t xml:space="preserve">Bron: FEDRIS (ex-FAO), Statistisch jaarboek </t>
  </si>
  <si>
    <t xml:space="preserve">Spilindex </t>
  </si>
  <si>
    <t>BI</t>
  </si>
  <si>
    <t>Basis</t>
  </si>
  <si>
    <t>1974/1975</t>
  </si>
  <si>
    <t>Omrekeningscoëfficiënt</t>
  </si>
  <si>
    <t>* 0,8148</t>
  </si>
  <si>
    <t xml:space="preserve">              * 0,7093</t>
  </si>
  <si>
    <t xml:space="preserve">             * 0,6493</t>
  </si>
  <si>
    <t xml:space="preserve">             * 0,8280</t>
  </si>
  <si>
    <t xml:space="preserve">              * 0,8790</t>
  </si>
  <si>
    <t>2de indexsprong op 1/01/1985</t>
  </si>
  <si>
    <t>3de indexsprong op 01/06/1987</t>
  </si>
  <si>
    <t>Vanaf 01/09/2007 is de verhoging buiten de index van toepassing voor alle invaliden</t>
  </si>
  <si>
    <t>Vanaf  01/09/2007 werden de bedragen voor invaliden van voor 01/01/2000 met 2 % buiten de index verhoogd</t>
  </si>
  <si>
    <t>1ste indexsprong op 1/05/1984 maar enkel uitgevoerd samen met de tweede</t>
  </si>
  <si>
    <t xml:space="preserve">1/06/2017 </t>
  </si>
  <si>
    <t xml:space="preserve">1/09/2017 </t>
  </si>
  <si>
    <t xml:space="preserve">Periode: 1982-2017 </t>
  </si>
  <si>
    <t xml:space="preserve">Stelsel: Werknemers </t>
  </si>
  <si>
    <t>Tak: Arbeidsongevallen</t>
  </si>
  <si>
    <t xml:space="preserve">Update: Januari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</si>
</sst>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0.0000"/>
  </numFmts>
  <fonts count="20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FF0000"/>
      <name val="Century Gothic"/>
      <family val="2"/>
    </font>
    <font>
      <sz val="9"/>
      <color rgb="FF333399"/>
      <name val="Century Gothic"/>
      <family val="2"/>
    </font>
    <font>
      <u/>
      <sz val="10"/>
      <color rgb="FF33339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/>
      <right/>
      <top style="thin">
        <color rgb="FF333399"/>
      </top>
      <bottom/>
      <diagonal/>
    </border>
    <border>
      <left/>
      <right style="thick">
        <color rgb="FF333399"/>
      </right>
      <top style="thin">
        <color rgb="FF333399"/>
      </top>
      <bottom/>
      <diagonal/>
    </border>
    <border>
      <left/>
      <right/>
      <top/>
      <bottom style="thin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45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Border="1" applyAlignment="1">
      <alignment vertical="center"/>
    </xf>
    <xf numFmtId="49" fontId="12" fillId="7" borderId="8" xfId="0" quotePrefix="1" applyNumberFormat="1" applyFont="1" applyFill="1" applyBorder="1" applyAlignment="1">
      <alignment horizontal="center" vertical="center" wrapText="1"/>
    </xf>
    <xf numFmtId="165" fontId="13" fillId="8" borderId="0" xfId="0" applyNumberFormat="1" applyFont="1" applyFill="1" applyBorder="1" applyAlignment="1">
      <alignment vertical="center"/>
    </xf>
    <xf numFmtId="165" fontId="13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1" fillId="7" borderId="0" xfId="0" quotePrefix="1" applyFont="1" applyFill="1" applyBorder="1" applyAlignment="1">
      <alignment horizontal="right" vertical="center" indent="1"/>
    </xf>
    <xf numFmtId="0" fontId="12" fillId="7" borderId="9" xfId="0" quotePrefix="1" applyFont="1" applyFill="1" applyBorder="1" applyAlignment="1">
      <alignment horizontal="left" vertical="center" wrapText="1" indent="1"/>
    </xf>
    <xf numFmtId="164" fontId="11" fillId="7" borderId="0" xfId="0" quotePrefix="1" applyNumberFormat="1" applyFont="1" applyFill="1" applyBorder="1" applyAlignment="1">
      <alignment horizontal="right" vertical="center"/>
    </xf>
    <xf numFmtId="0" fontId="0" fillId="0" borderId="0" xfId="0" applyBorder="1"/>
    <xf numFmtId="165" fontId="15" fillId="8" borderId="0" xfId="0" quotePrefix="1" applyNumberFormat="1" applyFont="1" applyFill="1" applyBorder="1" applyAlignment="1">
      <alignment horizontal="left" vertical="center" indent="1"/>
    </xf>
    <xf numFmtId="0" fontId="14" fillId="7" borderId="10" xfId="0" quotePrefix="1" applyFont="1" applyFill="1" applyBorder="1" applyAlignment="1">
      <alignment horizontal="left" vertical="center" indent="1"/>
    </xf>
    <xf numFmtId="165" fontId="14" fillId="7" borderId="0" xfId="0" applyNumberFormat="1" applyFont="1" applyFill="1" applyBorder="1" applyAlignment="1">
      <alignment vertical="center"/>
    </xf>
    <xf numFmtId="0" fontId="14" fillId="7" borderId="12" xfId="0" quotePrefix="1" applyFont="1" applyFill="1" applyBorder="1" applyAlignment="1">
      <alignment horizontal="left" vertical="center" indent="1"/>
    </xf>
    <xf numFmtId="165" fontId="14" fillId="7" borderId="1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165" fontId="14" fillId="9" borderId="0" xfId="0" applyNumberFormat="1" applyFont="1" applyFill="1" applyBorder="1" applyAlignment="1">
      <alignment vertical="center"/>
    </xf>
    <xf numFmtId="165" fontId="14" fillId="9" borderId="11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0" fontId="10" fillId="7" borderId="10" xfId="0" quotePrefix="1" applyFont="1" applyFill="1" applyBorder="1" applyAlignment="1">
      <alignment horizontal="left" vertical="center" indent="1"/>
    </xf>
    <xf numFmtId="4" fontId="10" fillId="7" borderId="0" xfId="0" applyNumberFormat="1" applyFont="1" applyFill="1"/>
    <xf numFmtId="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9" fillId="7" borderId="0" xfId="0" applyFont="1" applyFill="1"/>
    <xf numFmtId="0" fontId="10" fillId="7" borderId="0" xfId="0" quotePrefix="1" applyFont="1" applyFill="1" applyAlignment="1">
      <alignment horizontal="right"/>
    </xf>
    <xf numFmtId="166" fontId="10" fillId="7" borderId="0" xfId="0" quotePrefix="1" applyNumberFormat="1" applyFont="1" applyFill="1" applyAlignment="1">
      <alignment horizontal="right"/>
    </xf>
    <xf numFmtId="0" fontId="16" fillId="7" borderId="14" xfId="0" quotePrefix="1" applyFont="1" applyFill="1" applyBorder="1" applyAlignment="1">
      <alignment horizontal="left" vertical="center" indent="1"/>
    </xf>
    <xf numFmtId="165" fontId="17" fillId="9" borderId="13" xfId="0" applyNumberFormat="1" applyFont="1" applyFill="1" applyBorder="1" applyAlignment="1">
      <alignment vertical="center"/>
    </xf>
    <xf numFmtId="165" fontId="17" fillId="7" borderId="13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0" fontId="10" fillId="7" borderId="0" xfId="0" quotePrefix="1" applyFont="1" applyFill="1" applyAlignment="1">
      <alignment horizontal="center"/>
    </xf>
    <xf numFmtId="0" fontId="10" fillId="7" borderId="0" xfId="0" quotePrefix="1" applyFont="1" applyFill="1"/>
    <xf numFmtId="4" fontId="10" fillId="7" borderId="0" xfId="0" applyNumberFormat="1" applyFont="1" applyFill="1" applyBorder="1" applyAlignment="1">
      <alignment horizontal="right"/>
    </xf>
    <xf numFmtId="4" fontId="10" fillId="7" borderId="0" xfId="0" applyNumberFormat="1" applyFont="1" applyFill="1" applyBorder="1"/>
    <xf numFmtId="164" fontId="18" fillId="0" borderId="0" xfId="0" quotePrefix="1" applyNumberFormat="1" applyFont="1" applyFill="1" applyBorder="1" applyAlignment="1">
      <alignment horizontal="right" wrapText="1"/>
    </xf>
    <xf numFmtId="4" fontId="15" fillId="7" borderId="0" xfId="0" applyNumberFormat="1" applyFont="1" applyFill="1" applyBorder="1" applyAlignment="1">
      <alignment vertical="center"/>
    </xf>
    <xf numFmtId="4" fontId="15" fillId="7" borderId="11" xfId="0" applyNumberFormat="1" applyFont="1" applyFill="1" applyBorder="1" applyAlignment="1">
      <alignment vertical="center"/>
    </xf>
    <xf numFmtId="0" fontId="10" fillId="7" borderId="15" xfId="0" applyFont="1" applyFill="1" applyBorder="1"/>
    <xf numFmtId="164" fontId="11" fillId="7" borderId="0" xfId="0" quotePrefix="1" applyNumberFormat="1" applyFont="1" applyFill="1" applyBorder="1" applyAlignment="1">
      <alignment horizontal="right"/>
    </xf>
    <xf numFmtId="164" fontId="18" fillId="7" borderId="0" xfId="0" quotePrefix="1" applyNumberFormat="1" applyFont="1" applyFill="1" applyBorder="1" applyAlignment="1">
      <alignment horizontal="right" wrapTex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sheetPr>
    <pageSetUpPr autoPageBreaks="0"/>
  </sheetPr>
  <dimension ref="A1:BI30"/>
  <sheetViews>
    <sheetView showGridLines="0" tabSelected="1" zoomScale="75" zoomScaleNormal="75" workbookViewId="0"/>
  </sheetViews>
  <sheetFormatPr defaultColWidth="11.5703125" defaultRowHeight="12.75" x14ac:dyDescent="0.2"/>
  <cols>
    <col min="1" max="1" width="76.42578125" customWidth="1"/>
    <col min="2" max="33" width="15" customWidth="1"/>
    <col min="34" max="39" width="15" bestFit="1" customWidth="1"/>
    <col min="40" max="49" width="15" customWidth="1"/>
  </cols>
  <sheetData>
    <row r="1" spans="1:61" ht="18" x14ac:dyDescent="0.2">
      <c r="A1" s="19" t="s">
        <v>55</v>
      </c>
    </row>
    <row r="2" spans="1:61" ht="16.5" x14ac:dyDescent="0.2">
      <c r="A2" s="14" t="s">
        <v>0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61" ht="16.5" x14ac:dyDescent="0.2">
      <c r="A3" s="14" t="s">
        <v>75</v>
      </c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61" ht="16.5" x14ac:dyDescent="0.2">
      <c r="A4" s="14" t="s">
        <v>76</v>
      </c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61" ht="16.5" x14ac:dyDescent="0.2">
      <c r="A5" s="14" t="s">
        <v>74</v>
      </c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61" ht="16.5" x14ac:dyDescent="0.2">
      <c r="A6" s="14" t="s">
        <v>77</v>
      </c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61" ht="16.5" x14ac:dyDescent="0.2">
      <c r="A7" s="14" t="s">
        <v>47</v>
      </c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61" ht="16.5" x14ac:dyDescent="0.2">
      <c r="A8" s="14" t="s">
        <v>56</v>
      </c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61" ht="13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3"/>
      <c r="AW9" s="13"/>
      <c r="AX9" s="13"/>
      <c r="AY9" s="13"/>
      <c r="AZ9" s="13"/>
      <c r="BA9" s="13"/>
      <c r="BB9" s="13"/>
    </row>
    <row r="10" spans="1:61" ht="24" customHeight="1" thickBot="1" x14ac:dyDescent="0.25">
      <c r="A10" s="11" t="s">
        <v>52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9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6" t="s">
        <v>22</v>
      </c>
      <c r="X10" s="6" t="s">
        <v>31</v>
      </c>
      <c r="Y10" s="6" t="s">
        <v>23</v>
      </c>
      <c r="Z10" s="6" t="s">
        <v>24</v>
      </c>
      <c r="AA10" s="6" t="s">
        <v>25</v>
      </c>
      <c r="AB10" s="6" t="s">
        <v>26</v>
      </c>
      <c r="AC10" s="6" t="s">
        <v>27</v>
      </c>
      <c r="AD10" s="6" t="s">
        <v>28</v>
      </c>
      <c r="AE10" s="6" t="s">
        <v>29</v>
      </c>
      <c r="AF10" s="6" t="s">
        <v>30</v>
      </c>
      <c r="AG10" s="6" t="s">
        <v>32</v>
      </c>
      <c r="AH10" s="6" t="s">
        <v>33</v>
      </c>
      <c r="AI10" s="6" t="s">
        <v>34</v>
      </c>
      <c r="AJ10" s="6" t="s">
        <v>35</v>
      </c>
      <c r="AK10" s="6" t="s">
        <v>36</v>
      </c>
      <c r="AL10" s="6" t="s">
        <v>37</v>
      </c>
      <c r="AM10" s="6" t="s">
        <v>38</v>
      </c>
      <c r="AN10" s="6" t="s">
        <v>39</v>
      </c>
      <c r="AO10" s="6" t="s">
        <v>40</v>
      </c>
      <c r="AP10" s="6" t="s">
        <v>41</v>
      </c>
      <c r="AQ10" s="6" t="s">
        <v>42</v>
      </c>
      <c r="AR10" s="6" t="s">
        <v>43</v>
      </c>
      <c r="AS10" s="6" t="s">
        <v>44</v>
      </c>
      <c r="AT10" s="6" t="s">
        <v>45</v>
      </c>
      <c r="AU10" s="6" t="s">
        <v>46</v>
      </c>
      <c r="AV10" s="6" t="s">
        <v>72</v>
      </c>
      <c r="AW10" s="6" t="s">
        <v>73</v>
      </c>
      <c r="AX10" s="13"/>
      <c r="AY10" s="13"/>
      <c r="AZ10" s="13"/>
      <c r="BA10" s="13"/>
      <c r="BB10" s="13"/>
    </row>
    <row r="11" spans="1:61" ht="13.9" customHeight="1" x14ac:dyDescent="0.25">
      <c r="A11" s="24" t="s">
        <v>57</v>
      </c>
      <c r="B11" s="25">
        <v>157.91999999999999</v>
      </c>
      <c r="C11" s="25">
        <v>161.06</v>
      </c>
      <c r="D11" s="25">
        <v>164.3</v>
      </c>
      <c r="E11" s="25">
        <v>167.59</v>
      </c>
      <c r="F11" s="25">
        <v>170.94</v>
      </c>
      <c r="G11" s="25">
        <v>174.36</v>
      </c>
      <c r="H11" s="25">
        <v>177.85</v>
      </c>
      <c r="I11" s="25">
        <v>181.41</v>
      </c>
      <c r="J11" s="25">
        <v>120.15</v>
      </c>
      <c r="K11" s="25">
        <v>122.55</v>
      </c>
      <c r="L11" s="25">
        <v>125</v>
      </c>
      <c r="M11" s="25">
        <v>127.5</v>
      </c>
      <c r="N11" s="25">
        <v>130.05000000000001</v>
      </c>
      <c r="O11" s="25">
        <v>132.65</v>
      </c>
      <c r="P11" s="25">
        <v>135.30000000000001</v>
      </c>
      <c r="Q11" s="25">
        <v>138.01</v>
      </c>
      <c r="R11" s="25">
        <v>140.77000000000001</v>
      </c>
      <c r="S11" s="25">
        <v>143.59</v>
      </c>
      <c r="T11" s="25">
        <v>108.26</v>
      </c>
      <c r="U11" s="25">
        <v>110.43</v>
      </c>
      <c r="V11" s="25">
        <v>112.64</v>
      </c>
      <c r="W11" s="25">
        <v>114.89</v>
      </c>
      <c r="X11" s="25">
        <v>117.19</v>
      </c>
      <c r="Y11" s="25">
        <v>119.53</v>
      </c>
      <c r="Z11" s="25">
        <v>121.92</v>
      </c>
      <c r="AA11" s="25">
        <v>103.14</v>
      </c>
      <c r="AB11" s="25">
        <v>105.2</v>
      </c>
      <c r="AC11" s="25">
        <v>107.3</v>
      </c>
      <c r="AD11" s="25">
        <v>109.45</v>
      </c>
      <c r="AE11" s="26">
        <v>111.64</v>
      </c>
      <c r="AF11" s="25">
        <v>113.87</v>
      </c>
      <c r="AG11" s="26">
        <v>116.15</v>
      </c>
      <c r="AH11" s="25">
        <v>104.14</v>
      </c>
      <c r="AI11" s="26" t="s">
        <v>58</v>
      </c>
      <c r="AJ11" s="25">
        <v>106.22</v>
      </c>
      <c r="AK11" s="25">
        <v>108.34</v>
      </c>
      <c r="AL11" s="26" t="s">
        <v>58</v>
      </c>
      <c r="AM11" s="26" t="s">
        <v>58</v>
      </c>
      <c r="AN11" s="25">
        <v>112.72</v>
      </c>
      <c r="AO11" s="26">
        <v>114.97</v>
      </c>
      <c r="AP11" s="26">
        <v>117.27</v>
      </c>
      <c r="AQ11" s="26" t="s">
        <v>58</v>
      </c>
      <c r="AR11" s="25">
        <v>119.62</v>
      </c>
      <c r="AS11" s="26" t="s">
        <v>58</v>
      </c>
      <c r="AT11" s="26" t="s">
        <v>58</v>
      </c>
      <c r="AU11" s="25">
        <v>101.02</v>
      </c>
      <c r="AV11" s="37"/>
      <c r="AW11" s="38">
        <v>103.04</v>
      </c>
      <c r="AX11" s="38"/>
      <c r="AY11" s="37"/>
      <c r="AZ11" s="13"/>
      <c r="BA11" s="13"/>
      <c r="BB11" s="13"/>
      <c r="BE11" s="26"/>
      <c r="BF11" s="26"/>
      <c r="BG11" s="26"/>
      <c r="BH11" s="26"/>
      <c r="BI11" s="25"/>
    </row>
    <row r="12" spans="1:61" ht="13.9" customHeight="1" x14ac:dyDescent="0.25">
      <c r="A12" s="24" t="s">
        <v>59</v>
      </c>
      <c r="B12" s="27" t="s">
        <v>60</v>
      </c>
      <c r="C12" s="27" t="s">
        <v>60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60</v>
      </c>
      <c r="J12" s="28">
        <v>1981</v>
      </c>
      <c r="K12" s="2">
        <v>1981</v>
      </c>
      <c r="L12" s="2">
        <v>1981</v>
      </c>
      <c r="M12" s="2">
        <v>1981</v>
      </c>
      <c r="N12" s="2">
        <v>1981</v>
      </c>
      <c r="O12" s="2">
        <v>1981</v>
      </c>
      <c r="P12" s="2">
        <v>1981</v>
      </c>
      <c r="Q12" s="2">
        <v>1981</v>
      </c>
      <c r="R12" s="2">
        <v>1981</v>
      </c>
      <c r="S12" s="2">
        <v>1981</v>
      </c>
      <c r="T12" s="28">
        <v>1988</v>
      </c>
      <c r="U12" s="2">
        <v>1988</v>
      </c>
      <c r="V12" s="2">
        <v>1988</v>
      </c>
      <c r="W12" s="2">
        <v>1988</v>
      </c>
      <c r="X12" s="2">
        <v>1988</v>
      </c>
      <c r="Y12" s="2">
        <v>1988</v>
      </c>
      <c r="Z12" s="2">
        <v>1988</v>
      </c>
      <c r="AA12" s="28">
        <v>1996</v>
      </c>
      <c r="AB12" s="2">
        <v>1996</v>
      </c>
      <c r="AC12" s="2">
        <v>1996</v>
      </c>
      <c r="AD12" s="2">
        <v>1996</v>
      </c>
      <c r="AE12" s="2">
        <v>1996</v>
      </c>
      <c r="AF12" s="2">
        <v>1996</v>
      </c>
      <c r="AG12" s="2">
        <v>1996</v>
      </c>
      <c r="AH12" s="28">
        <v>2004</v>
      </c>
      <c r="AI12" s="2"/>
      <c r="AJ12" s="2">
        <v>2004</v>
      </c>
      <c r="AK12" s="2">
        <v>2004</v>
      </c>
      <c r="AL12" s="2"/>
      <c r="AM12" s="2"/>
      <c r="AN12" s="2">
        <v>2004</v>
      </c>
      <c r="AO12" s="2">
        <v>2004</v>
      </c>
      <c r="AP12" s="2">
        <v>2004</v>
      </c>
      <c r="AQ12" s="2"/>
      <c r="AR12" s="2">
        <v>2004</v>
      </c>
      <c r="AS12" s="2"/>
      <c r="AT12" s="2"/>
      <c r="AU12" s="28">
        <v>2013</v>
      </c>
      <c r="AV12" s="1"/>
      <c r="AW12" s="2">
        <v>2013</v>
      </c>
      <c r="AX12" s="1"/>
      <c r="AY12" s="1"/>
      <c r="AZ12" s="13"/>
      <c r="BA12" s="13"/>
      <c r="BB12" s="13"/>
      <c r="BE12" s="2"/>
      <c r="BF12" s="2"/>
      <c r="BG12" s="2"/>
      <c r="BH12" s="2"/>
      <c r="BI12" s="28"/>
    </row>
    <row r="13" spans="1:61" ht="13.9" customHeight="1" x14ac:dyDescent="0.25">
      <c r="A13" s="24" t="s">
        <v>61</v>
      </c>
      <c r="B13" s="2"/>
      <c r="C13" s="2"/>
      <c r="D13" s="2"/>
      <c r="E13" s="2"/>
      <c r="F13" s="2"/>
      <c r="G13" s="2"/>
      <c r="H13" s="2"/>
      <c r="I13" s="2"/>
      <c r="J13" s="35" t="s">
        <v>64</v>
      </c>
      <c r="K13" s="2"/>
      <c r="L13" s="2"/>
      <c r="M13" s="2"/>
      <c r="N13" s="29"/>
      <c r="O13" s="2"/>
      <c r="P13" s="2"/>
      <c r="Q13" s="2"/>
      <c r="R13" s="2"/>
      <c r="S13" s="2"/>
      <c r="T13" s="36" t="s">
        <v>63</v>
      </c>
      <c r="U13" s="2"/>
      <c r="V13" s="2"/>
      <c r="W13" s="2"/>
      <c r="X13" s="2"/>
      <c r="Y13" s="2"/>
      <c r="Z13" s="2"/>
      <c r="AA13" s="29" t="s">
        <v>62</v>
      </c>
      <c r="AB13" s="2"/>
      <c r="AC13" s="2"/>
      <c r="AE13" s="2"/>
      <c r="AF13" s="2"/>
      <c r="AG13" s="2"/>
      <c r="AH13" s="36" t="s">
        <v>66</v>
      </c>
      <c r="AI13" s="2"/>
      <c r="AJ13" s="2"/>
      <c r="AK13" s="2"/>
      <c r="AL13" s="2"/>
      <c r="AM13" s="2"/>
      <c r="AN13" s="2"/>
      <c r="AO13" s="30"/>
      <c r="AP13" s="2"/>
      <c r="AQ13" s="2"/>
      <c r="AR13" s="2"/>
      <c r="AS13" s="2"/>
      <c r="AT13" s="2"/>
      <c r="AU13" s="29" t="s">
        <v>65</v>
      </c>
      <c r="AV13" s="42"/>
      <c r="AW13" s="42"/>
      <c r="AX13" s="1"/>
      <c r="AY13" s="1"/>
      <c r="AZ13" s="13"/>
      <c r="BA13" s="1"/>
      <c r="BB13" s="1"/>
      <c r="BC13" s="2"/>
      <c r="BD13" s="2"/>
      <c r="BE13" s="2"/>
      <c r="BF13" s="2"/>
      <c r="BG13" s="2"/>
      <c r="BH13" s="2"/>
      <c r="BI13" s="29"/>
    </row>
    <row r="14" spans="1:61" ht="17.25" x14ac:dyDescent="0.2">
      <c r="A14" s="31" t="s">
        <v>48</v>
      </c>
      <c r="B14" s="32"/>
      <c r="C14" s="32"/>
      <c r="D14" s="32"/>
      <c r="E14" s="32"/>
      <c r="F14" s="33"/>
      <c r="G14" s="33"/>
      <c r="H14" s="32"/>
      <c r="I14" s="32"/>
      <c r="J14" s="32"/>
      <c r="K14" s="34"/>
      <c r="L14" s="34"/>
      <c r="M14" s="32"/>
      <c r="N14" s="33"/>
      <c r="O14" s="32"/>
      <c r="P14" s="32"/>
      <c r="Q14" s="32"/>
      <c r="R14" s="32"/>
      <c r="S14" s="34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13"/>
      <c r="AW14" s="13"/>
      <c r="AX14" s="13"/>
      <c r="AY14" s="13"/>
      <c r="AZ14" s="13"/>
      <c r="BA14" s="13"/>
      <c r="BB14" s="13"/>
    </row>
    <row r="15" spans="1:61" ht="24.95" customHeight="1" x14ac:dyDescent="0.2">
      <c r="A15" s="15" t="s">
        <v>53</v>
      </c>
      <c r="B15" s="20">
        <v>38.159999999999997</v>
      </c>
      <c r="C15" s="20">
        <v>38.92</v>
      </c>
      <c r="D15" s="20">
        <v>39.700000000000003</v>
      </c>
      <c r="E15" s="20">
        <v>40.5</v>
      </c>
      <c r="F15" s="16">
        <f>1666.28/40.3399</f>
        <v>41.30600224591533</v>
      </c>
      <c r="G15" s="16">
        <f>1699.56/40.3399</f>
        <v>42.130991896360676</v>
      </c>
      <c r="H15" s="20">
        <f>1733.55/40.3399</f>
        <v>42.973581987064918</v>
      </c>
      <c r="I15" s="20">
        <f>1768.22/40.3399</f>
        <v>43.833028837453739</v>
      </c>
      <c r="J15" s="20">
        <f>1803.58/40.3399</f>
        <v>44.709580341051911</v>
      </c>
      <c r="K15" s="22">
        <f>1839.74/40.3399</f>
        <v>45.605963326631944</v>
      </c>
      <c r="L15" s="22">
        <f>1803.59/40.3399</f>
        <v>44.709828234576683</v>
      </c>
      <c r="M15" s="20">
        <f>1839.66/40.3399</f>
        <v>45.603980178433758</v>
      </c>
      <c r="N15" s="16">
        <f>1876.45/40.3399</f>
        <v>46.515980456074509</v>
      </c>
      <c r="O15" s="20">
        <v>46.515980456074509</v>
      </c>
      <c r="P15" s="20">
        <f>1913.98/40.3399</f>
        <v>47.446324854548472</v>
      </c>
      <c r="Q15" s="20">
        <v>48.395261267380434</v>
      </c>
      <c r="R15" s="20">
        <v>49.363285481619933</v>
      </c>
      <c r="S15" s="22">
        <f>2031.12/40.3399</f>
        <v>50.350149603742196</v>
      </c>
      <c r="T15" s="20">
        <v>51.357340994895871</v>
      </c>
      <c r="U15" s="16">
        <f>2113.21/40.3399</f>
        <v>52.385107548605724</v>
      </c>
      <c r="V15" s="20">
        <f>2155.47/40.3399</f>
        <v>53.43270558429743</v>
      </c>
      <c r="W15" s="20">
        <f>2198.58/40.3399</f>
        <v>54.501374569594866</v>
      </c>
      <c r="X15" s="16">
        <f>2242.52/40.3399</f>
        <v>55.590618717448478</v>
      </c>
      <c r="Y15" s="16">
        <v>56.7</v>
      </c>
      <c r="Z15" s="16">
        <v>57.84</v>
      </c>
      <c r="AA15" s="16">
        <v>58.99</v>
      </c>
      <c r="AB15" s="16">
        <v>60.17</v>
      </c>
      <c r="AC15" s="16">
        <v>61.38</v>
      </c>
      <c r="AD15" s="16">
        <v>62.6</v>
      </c>
      <c r="AE15" s="16">
        <v>63.85</v>
      </c>
      <c r="AF15" s="16">
        <v>65.13</v>
      </c>
      <c r="AG15" s="16">
        <v>66.430000000000007</v>
      </c>
      <c r="AH15" s="16">
        <v>67.760000000000005</v>
      </c>
      <c r="AI15" s="16">
        <v>70.5</v>
      </c>
      <c r="AJ15" s="20">
        <f>1.02*AI15</f>
        <v>71.91</v>
      </c>
      <c r="AK15" s="20">
        <f>1.02^2*AI15</f>
        <v>73.348200000000006</v>
      </c>
      <c r="AL15" s="20">
        <f>1.02^3*AI15</f>
        <v>74.815163999999996</v>
      </c>
      <c r="AM15" s="16">
        <v>76.31</v>
      </c>
      <c r="AN15" s="16">
        <v>77.84</v>
      </c>
      <c r="AO15" s="16">
        <v>79.400000000000006</v>
      </c>
      <c r="AP15" s="16">
        <v>80.98</v>
      </c>
      <c r="AQ15" s="16">
        <v>82.6</v>
      </c>
      <c r="AR15" s="16">
        <v>84.25</v>
      </c>
      <c r="AS15" s="16">
        <v>85.94</v>
      </c>
      <c r="AT15" s="16">
        <v>87.66</v>
      </c>
      <c r="AU15" s="16">
        <v>89.41</v>
      </c>
      <c r="AV15" s="40">
        <v>91.2</v>
      </c>
      <c r="AW15" s="40">
        <v>92.75</v>
      </c>
    </row>
    <row r="16" spans="1:61" ht="24.95" customHeight="1" x14ac:dyDescent="0.2">
      <c r="A16" s="15" t="s">
        <v>49</v>
      </c>
      <c r="B16" s="20">
        <v>52.93</v>
      </c>
      <c r="C16" s="20">
        <v>53.99</v>
      </c>
      <c r="D16" s="20">
        <v>55.07</v>
      </c>
      <c r="E16" s="20">
        <v>56.17</v>
      </c>
      <c r="F16" s="16">
        <f>2311.29/40.3399</f>
        <v>57.29538248731405</v>
      </c>
      <c r="G16" s="16">
        <f>2357.46/40.3399</f>
        <v>58.439906891192095</v>
      </c>
      <c r="H16" s="20">
        <f>2404.61/40.3399</f>
        <v>59.608724860497922</v>
      </c>
      <c r="I16" s="20">
        <f>2452.7/40.3399</f>
        <v>60.800844821132422</v>
      </c>
      <c r="J16" s="20">
        <f>2501.75/40.3399</f>
        <v>62.016762560145168</v>
      </c>
      <c r="K16" s="22">
        <f>2551.9/40.3399</f>
        <v>63.259948586882963</v>
      </c>
      <c r="L16" s="22">
        <f>2501.76/40.3399</f>
        <v>62.017010453669947</v>
      </c>
      <c r="M16" s="20">
        <f>2551.79/40.3399</f>
        <v>63.257221758110454</v>
      </c>
      <c r="N16" s="16">
        <f>2602.81/40.3399</f>
        <v>64.521974521503523</v>
      </c>
      <c r="O16" s="20">
        <v>64.521974521503523</v>
      </c>
      <c r="P16" s="20">
        <f>2654.88/40.3399</f>
        <v>65.812756104997788</v>
      </c>
      <c r="Q16" s="20">
        <v>67.129070721543684</v>
      </c>
      <c r="R16" s="20">
        <v>68.471662051715541</v>
      </c>
      <c r="S16" s="22">
        <f>2817.36/40.3399</f>
        <v>69.840530095513373</v>
      </c>
      <c r="T16" s="20">
        <v>71.23790589466013</v>
      </c>
      <c r="U16" s="16">
        <f>3077.79/40.3399</f>
        <v>76.296421161182849</v>
      </c>
      <c r="V16" s="20">
        <f>3139.35/40.3399</f>
        <v>77.822453699686903</v>
      </c>
      <c r="W16" s="20">
        <f>3202.13/40.3399</f>
        <v>79.378729248213304</v>
      </c>
      <c r="X16" s="16">
        <f>3266.13/40.3399</f>
        <v>80.965247806762036</v>
      </c>
      <c r="Y16" s="16">
        <v>82.59</v>
      </c>
      <c r="Z16" s="16">
        <v>84.24</v>
      </c>
      <c r="AA16" s="16">
        <v>85.92</v>
      </c>
      <c r="AB16" s="16">
        <v>87.64</v>
      </c>
      <c r="AC16" s="16">
        <v>89.39</v>
      </c>
      <c r="AD16" s="16">
        <v>91.18</v>
      </c>
      <c r="AE16" s="16">
        <v>93</v>
      </c>
      <c r="AF16" s="16">
        <v>94.87</v>
      </c>
      <c r="AG16" s="16">
        <v>96.76</v>
      </c>
      <c r="AH16" s="16">
        <v>98.7</v>
      </c>
      <c r="AI16" s="16">
        <v>102.68</v>
      </c>
      <c r="AJ16" s="20">
        <f>1.02*AI16</f>
        <v>104.73360000000001</v>
      </c>
      <c r="AK16" s="20">
        <f>1.02^2*AI16</f>
        <v>106.82827200000001</v>
      </c>
      <c r="AL16" s="20">
        <f>1.02^3*AI16</f>
        <v>108.96483744</v>
      </c>
      <c r="AM16" s="16">
        <v>111.15</v>
      </c>
      <c r="AN16" s="16">
        <v>113.37</v>
      </c>
      <c r="AO16" s="16">
        <v>115.64</v>
      </c>
      <c r="AP16" s="16">
        <v>117.95</v>
      </c>
      <c r="AQ16" s="16">
        <v>120.31</v>
      </c>
      <c r="AR16" s="16">
        <v>122.71</v>
      </c>
      <c r="AS16" s="16">
        <v>125.17</v>
      </c>
      <c r="AT16" s="16">
        <v>127.68</v>
      </c>
      <c r="AU16" s="16">
        <v>130.22999999999999</v>
      </c>
      <c r="AV16" s="40">
        <v>132.83000000000001</v>
      </c>
      <c r="AW16" s="40">
        <v>135.09</v>
      </c>
    </row>
    <row r="17" spans="1:51" ht="24.95" customHeight="1" x14ac:dyDescent="0.2">
      <c r="A17" s="15" t="s">
        <v>50</v>
      </c>
      <c r="B17" s="20">
        <v>70.53</v>
      </c>
      <c r="C17" s="20">
        <v>71.94</v>
      </c>
      <c r="D17" s="20">
        <v>73.38</v>
      </c>
      <c r="E17" s="20">
        <v>74.849999999999994</v>
      </c>
      <c r="F17" s="16">
        <f>3079.92/40.3399</f>
        <v>76.349222481959544</v>
      </c>
      <c r="G17" s="16">
        <f>3141.45/40.3399</f>
        <v>77.874511339889281</v>
      </c>
      <c r="H17" s="20">
        <f>3204.28/40.3399</f>
        <v>79.432026356039557</v>
      </c>
      <c r="I17" s="20">
        <f>3268.36/40.3399</f>
        <v>81.020528062786468</v>
      </c>
      <c r="J17" s="20">
        <f>3333.73/40.3399</f>
        <v>82.641008034229145</v>
      </c>
      <c r="K17" s="22">
        <f>3400.76/40.3399</f>
        <v>84.302638330784163</v>
      </c>
      <c r="L17" s="22">
        <f>3333.73/40.3399</f>
        <v>82.641008034229145</v>
      </c>
      <c r="M17" s="20">
        <f>3400.41/40.3399</f>
        <v>84.29396205741709</v>
      </c>
      <c r="N17" s="16">
        <f>3468.4/40.3399</f>
        <v>85.97939013235036</v>
      </c>
      <c r="O17" s="20">
        <v>85.97939013235036</v>
      </c>
      <c r="P17" s="20">
        <f>3537.78/40.3399</f>
        <v>87.699275407227091</v>
      </c>
      <c r="Q17" s="20">
        <v>89.453369988522525</v>
      </c>
      <c r="R17" s="20">
        <v>91.242417556811006</v>
      </c>
      <c r="S17" s="22">
        <f>3754.3/40.3399</f>
        <v>93.066666005617265</v>
      </c>
      <c r="T17" s="20">
        <v>94.928594270189066</v>
      </c>
      <c r="U17" s="16">
        <f>4100.31/40.3399</f>
        <v>101.64402985629613</v>
      </c>
      <c r="V17" s="20">
        <f>4182.32/40.3399</f>
        <v>103.67700465296146</v>
      </c>
      <c r="W17" s="20">
        <f>4265.96/40.3399</f>
        <v>105.75038609416484</v>
      </c>
      <c r="X17" s="16">
        <f>4351.22/40.3399</f>
        <v>107.86392628638148</v>
      </c>
      <c r="Y17" s="16">
        <v>110.02</v>
      </c>
      <c r="Z17" s="16">
        <v>112.22</v>
      </c>
      <c r="AA17" s="16">
        <v>114.47</v>
      </c>
      <c r="AB17" s="16">
        <v>116.76</v>
      </c>
      <c r="AC17" s="16">
        <v>119.09</v>
      </c>
      <c r="AD17" s="16">
        <v>121.48</v>
      </c>
      <c r="AE17" s="16">
        <v>12.9</v>
      </c>
      <c r="AF17" s="16">
        <v>126.39</v>
      </c>
      <c r="AG17" s="16">
        <v>128.91999999999999</v>
      </c>
      <c r="AH17" s="16">
        <v>131.5</v>
      </c>
      <c r="AI17" s="16">
        <v>136.81</v>
      </c>
      <c r="AJ17" s="20">
        <f>1.02*AI17</f>
        <v>139.5462</v>
      </c>
      <c r="AK17" s="20">
        <f>1.02^2*AI17</f>
        <v>142.33712399999999</v>
      </c>
      <c r="AL17" s="20">
        <f>1.02^3*AI17</f>
        <v>145.18386648000001</v>
      </c>
      <c r="AM17" s="16">
        <v>148.08000000000001</v>
      </c>
      <c r="AN17" s="16">
        <v>151.05000000000001</v>
      </c>
      <c r="AO17" s="16">
        <v>154.07</v>
      </c>
      <c r="AP17" s="16">
        <v>157.15</v>
      </c>
      <c r="AQ17" s="16">
        <v>160.29</v>
      </c>
      <c r="AR17" s="16">
        <v>163.5</v>
      </c>
      <c r="AS17" s="16">
        <v>166.77</v>
      </c>
      <c r="AT17" s="16">
        <v>170.1</v>
      </c>
      <c r="AU17" s="16">
        <v>173.51</v>
      </c>
      <c r="AV17" s="40">
        <v>176.98</v>
      </c>
      <c r="AW17" s="40">
        <v>179.98</v>
      </c>
    </row>
    <row r="18" spans="1:51" ht="24.95" customHeight="1" x14ac:dyDescent="0.2">
      <c r="A18" s="15" t="s">
        <v>54</v>
      </c>
      <c r="B18" s="20">
        <v>93.98</v>
      </c>
      <c r="C18" s="20">
        <v>95.86</v>
      </c>
      <c r="D18" s="20">
        <v>97.78</v>
      </c>
      <c r="E18" s="20">
        <v>99.74</v>
      </c>
      <c r="F18" s="16">
        <f>4103.68/40.3399</f>
        <v>101.72756997414471</v>
      </c>
      <c r="G18" s="16">
        <f>4185.86/40.3399</f>
        <v>103.76475896073117</v>
      </c>
      <c r="H18" s="20">
        <f>4269.58/40.3399</f>
        <v>105.84012355013274</v>
      </c>
      <c r="I18" s="20">
        <f>4354.97/40.3399</f>
        <v>107.95688635817145</v>
      </c>
      <c r="J18" s="20">
        <f>4442.07/40.3399</f>
        <v>110.11603895894635</v>
      </c>
      <c r="K18" s="22">
        <f>4531.11/40.3399</f>
        <v>112.32328290352727</v>
      </c>
      <c r="L18" s="22">
        <f>4442.07/40.3399</f>
        <v>110.11603895894635</v>
      </c>
      <c r="M18" s="20">
        <f>4530.91/40.3399</f>
        <v>112.31832503303181</v>
      </c>
      <c r="N18" s="16">
        <f>4621.51/40.3399</f>
        <v>114.56424036747737</v>
      </c>
      <c r="O18" s="20">
        <v>114.56424036747737</v>
      </c>
      <c r="P18" s="20">
        <f>4713.96/40.3399</f>
        <v>116.85601600400597</v>
      </c>
      <c r="Q18" s="20">
        <v>119.19315615556806</v>
      </c>
      <c r="R18" s="20">
        <v>121.57690028978752</v>
      </c>
      <c r="S18" s="22">
        <f>5002.45/40.3399</f>
        <v>124.00749630018913</v>
      </c>
      <c r="T18" s="20">
        <v>126.48866258964449</v>
      </c>
      <c r="U18" s="16">
        <f>5204.63/40.3399</f>
        <v>129.01940758405451</v>
      </c>
      <c r="V18" s="20">
        <f>5308.72/40.3399</f>
        <v>131.59973128341915</v>
      </c>
      <c r="W18" s="20">
        <f>5414.9/40.3399</f>
        <v>134.23186472946139</v>
      </c>
      <c r="X18" s="16">
        <f>5523.12/40.3399</f>
        <v>136.91456845455738</v>
      </c>
      <c r="Y18" s="16">
        <v>139.66</v>
      </c>
      <c r="Z18" s="16">
        <v>142.44999999999999</v>
      </c>
      <c r="AA18" s="16">
        <v>145.30000000000001</v>
      </c>
      <c r="AB18" s="16">
        <v>148.19999999999999</v>
      </c>
      <c r="AC18" s="16">
        <v>151.16999999999999</v>
      </c>
      <c r="AD18" s="16">
        <v>154.19</v>
      </c>
      <c r="AE18" s="16">
        <v>157.26</v>
      </c>
      <c r="AF18" s="16">
        <v>160.41999999999999</v>
      </c>
      <c r="AG18" s="16">
        <v>163.63</v>
      </c>
      <c r="AH18" s="16">
        <v>166.9</v>
      </c>
      <c r="AI18" s="16">
        <v>173.64</v>
      </c>
      <c r="AJ18" s="20">
        <f>1.02*AI18</f>
        <v>177.11279999999999</v>
      </c>
      <c r="AK18" s="20">
        <f>1.02^2*AI18</f>
        <v>180.65505599999997</v>
      </c>
      <c r="AL18" s="20">
        <f>1.02^3*AI18</f>
        <v>184.26815711999998</v>
      </c>
      <c r="AM18" s="16">
        <v>187.96</v>
      </c>
      <c r="AN18" s="16">
        <v>191.72</v>
      </c>
      <c r="AO18" s="16">
        <v>195.54</v>
      </c>
      <c r="AP18" s="16">
        <v>199.46</v>
      </c>
      <c r="AQ18" s="16">
        <v>203.45</v>
      </c>
      <c r="AR18" s="16">
        <v>207.52</v>
      </c>
      <c r="AS18" s="16">
        <v>211.67</v>
      </c>
      <c r="AT18" s="16">
        <v>215.91</v>
      </c>
      <c r="AU18" s="16">
        <v>220.23</v>
      </c>
      <c r="AV18" s="40">
        <v>224.63</v>
      </c>
      <c r="AW18" s="40">
        <v>228.45</v>
      </c>
      <c r="AX18" s="13"/>
      <c r="AY18" s="13"/>
    </row>
    <row r="19" spans="1:51" ht="18" thickBot="1" x14ac:dyDescent="0.25">
      <c r="A19" s="17" t="s">
        <v>51</v>
      </c>
      <c r="B19" s="21">
        <v>47.02</v>
      </c>
      <c r="C19" s="21">
        <v>47.96</v>
      </c>
      <c r="D19" s="21">
        <v>48.92</v>
      </c>
      <c r="E19" s="21">
        <v>49.9</v>
      </c>
      <c r="F19" s="18">
        <f>2053.28/40.3399</f>
        <v>50.899481654639708</v>
      </c>
      <c r="G19" s="18">
        <f>2094.3/40.3399</f>
        <v>51.91634089325953</v>
      </c>
      <c r="H19" s="21">
        <f>2136.19/40.3399</f>
        <v>52.954766868534627</v>
      </c>
      <c r="I19" s="21">
        <f>2178.91/40.3399</f>
        <v>54.0137680063659</v>
      </c>
      <c r="J19" s="21">
        <f>2222.49/40.3399</f>
        <v>55.094087987327676</v>
      </c>
      <c r="K19" s="23">
        <f>2267.04/40.3399</f>
        <v>56.198453640192461</v>
      </c>
      <c r="L19" s="23">
        <f>2222.49/40.3399</f>
        <v>55.094087987327676</v>
      </c>
      <c r="M19" s="21">
        <f>2266.94/40.3399</f>
        <v>56.195974704944732</v>
      </c>
      <c r="N19" s="18">
        <f>2312.27/40.3399</f>
        <v>57.319676052741826</v>
      </c>
      <c r="O19" s="21">
        <v>57.319676052741826</v>
      </c>
      <c r="P19" s="21">
        <f>2358.52/40.3399</f>
        <v>58.466183604818056</v>
      </c>
      <c r="Q19" s="21">
        <v>59.635497361173428</v>
      </c>
      <c r="R19" s="21">
        <v>60.828361002382252</v>
      </c>
      <c r="S19" s="23">
        <f>2502.86/40.3399</f>
        <v>62.044278741394997</v>
      </c>
      <c r="T19" s="21">
        <v>63.28572951345938</v>
      </c>
      <c r="U19" s="18">
        <f>2604.02/40.3399</f>
        <v>64.551969638001083</v>
      </c>
      <c r="V19" s="21">
        <f>2656.1/40.3399</f>
        <v>65.84299911502012</v>
      </c>
      <c r="W19" s="21">
        <f>2709.22/40.3399</f>
        <v>67.15980951861556</v>
      </c>
      <c r="X19" s="18">
        <f>2763.27/40.3399</f>
        <v>68.499674020014922</v>
      </c>
      <c r="Y19" s="18">
        <v>69.87</v>
      </c>
      <c r="Z19" s="18">
        <v>71.27</v>
      </c>
      <c r="AA19" s="18">
        <v>72.7</v>
      </c>
      <c r="AB19" s="18">
        <v>74.150000000000006</v>
      </c>
      <c r="AC19" s="18">
        <v>75.63</v>
      </c>
      <c r="AD19" s="18">
        <v>77.14</v>
      </c>
      <c r="AE19" s="18">
        <v>78.680000000000007</v>
      </c>
      <c r="AF19" s="18">
        <v>80.260000000000005</v>
      </c>
      <c r="AG19" s="18">
        <v>81.87</v>
      </c>
      <c r="AH19" s="18">
        <v>83.5</v>
      </c>
      <c r="AI19" s="18">
        <v>86.88</v>
      </c>
      <c r="AJ19" s="21">
        <f>1.02*AI19</f>
        <v>88.617599999999996</v>
      </c>
      <c r="AK19" s="21">
        <f>1.02^2*AI19</f>
        <v>90.389951999999994</v>
      </c>
      <c r="AL19" s="21">
        <f>1.02^3*AI19</f>
        <v>92.197751039999986</v>
      </c>
      <c r="AM19" s="18">
        <v>94.03</v>
      </c>
      <c r="AN19" s="18">
        <v>95.82</v>
      </c>
      <c r="AO19" s="18">
        <v>97.83</v>
      </c>
      <c r="AP19" s="18">
        <v>99.79</v>
      </c>
      <c r="AQ19" s="18">
        <v>101.79</v>
      </c>
      <c r="AR19" s="18">
        <v>103.82</v>
      </c>
      <c r="AS19" s="18">
        <v>105.9</v>
      </c>
      <c r="AT19" s="18">
        <v>108.02</v>
      </c>
      <c r="AU19" s="18">
        <v>110.19</v>
      </c>
      <c r="AV19" s="41">
        <v>112.38</v>
      </c>
      <c r="AW19" s="41">
        <v>114.29</v>
      </c>
      <c r="AX19" s="13"/>
      <c r="AY19" s="13"/>
    </row>
    <row r="20" spans="1:51" ht="102.75" customHeight="1" thickTop="1" x14ac:dyDescent="0.3">
      <c r="A20" s="3"/>
      <c r="B20" s="12"/>
      <c r="C20" s="12"/>
      <c r="D20" s="12"/>
      <c r="E20" s="12"/>
      <c r="F20" s="12"/>
      <c r="G20" s="12"/>
      <c r="H20" s="12"/>
      <c r="I20" s="12"/>
      <c r="J20" s="39" t="s">
        <v>71</v>
      </c>
      <c r="K20" s="43"/>
      <c r="L20" s="44" t="s">
        <v>67</v>
      </c>
      <c r="M20" s="12"/>
      <c r="N20" s="12"/>
      <c r="O20" s="44" t="s">
        <v>68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39" t="s">
        <v>70</v>
      </c>
      <c r="AJ20" s="12"/>
      <c r="AK20" s="12"/>
      <c r="AL20" s="12"/>
      <c r="AM20" s="39" t="s">
        <v>69</v>
      </c>
      <c r="AN20" s="12"/>
      <c r="AO20" s="12"/>
      <c r="AP20" s="12"/>
      <c r="AQ20" s="12"/>
      <c r="AR20" s="12"/>
      <c r="AS20" s="12"/>
      <c r="AT20" s="12"/>
      <c r="AU20" s="12"/>
    </row>
    <row r="21" spans="1:51" ht="24.95" customHeight="1" x14ac:dyDescent="0.2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51" s="13" customFormat="1" ht="24.9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51" s="13" customFormat="1" ht="24.95" customHeight="1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51" s="13" customFormat="1" ht="24.95" customHeigh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51" s="13" customFormat="1" ht="24.95" customHeight="1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1" s="13" customFormat="1" ht="24.9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51" s="13" customFormat="1" ht="24.95" customHeigh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51" s="13" customFormat="1" x14ac:dyDescent="0.2"/>
    <row r="29" spans="1:51" s="13" customFormat="1" ht="14.25" x14ac:dyDescent="0.2">
      <c r="D29" s="10"/>
    </row>
    <row r="30" spans="1:51" x14ac:dyDescent="0.2">
      <c r="B30" s="13"/>
    </row>
  </sheetData>
  <customSheetViews>
    <customSheetView guid="{470324F5-0B14-4B25-B6A9-A7D3D8BAB193}" showGridLines="0" hiddenRows="1" hiddenColumns="1" topLeftCell="AC15">
      <selection activeCell="AH25" sqref="AH25"/>
      <pageMargins left="0.7" right="0.7" top="0.75" bottom="0.75" header="0.3" footer="0.3"/>
      <pageSetup paperSize="9" scale="71" orientation="landscape" r:id="rId1"/>
    </customSheetView>
    <customSheetView guid="{81FF5524-B6A5-4A69-B95B-761CD16C4020}" showGridLines="0" hiddenRows="1" hiddenColumns="1" topLeftCell="AA4">
      <selection activeCell="AN18" sqref="AN1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II-B-30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2020-06-15T08:34:47Z</dcterms:created>
  <dcterms:modified xsi:type="dcterms:W3CDTF">2020-06-22T17:37:43Z</dcterms:modified>
</cp:coreProperties>
</file>